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yyyy-mm-dd"/>
    <numFmt numFmtId="166" formatCode="DD/MM/YYYY"/>
  </numFmts>
  <fonts count="8">
    <font>
      <name val="Calibri"/>
      <family val="2"/>
      <color theme="1"/>
      <sz val="11"/>
      <scheme val="minor"/>
    </font>
    <font>
      <name val="Arial"/>
      <b val="1"/>
      <color rgb="001B2A5B"/>
      <sz val="18"/>
    </font>
    <font>
      <name val="Arial"/>
      <i val="1"/>
      <color rgb="009AA1B2"/>
      <sz val="9"/>
    </font>
    <font>
      <name val="Arial"/>
    </font>
    <font>
      <name val="Arial"/>
      <color rgb="000000FF"/>
    </font>
    <font>
      <name val="Arial"/>
      <b val="1"/>
    </font>
    <font>
      <name val="Arial"/>
      <b val="1"/>
      <color rgb="00FFFFFF"/>
    </font>
    <font>
      <name val="Arial"/>
      <color theme="1"/>
      <sz val="11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1B2A5B"/>
      </patternFill>
    </fill>
  </fills>
  <borders count="2">
    <border>
      <left/>
      <right/>
      <top/>
      <bottom/>
      <diagonal/>
    </border>
    <border>
      <left style="thin">
        <color rgb="00D9DDE8"/>
      </left>
      <right style="thin">
        <color rgb="00D9DDE8"/>
      </right>
      <top style="thin">
        <color rgb="00D9DDE8"/>
      </top>
      <bottom style="thin">
        <color rgb="00D9DDE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4" fillId="2" borderId="1" pivotButton="0" quotePrefix="0" xfId="0"/>
    <xf numFmtId="164" fontId="4" fillId="2" borderId="1" pivotButton="0" quotePrefix="0" xfId="0"/>
    <xf numFmtId="1" fontId="4" fillId="2" borderId="1" pivotButton="0" quotePrefix="0" xfId="0"/>
    <xf numFmtId="166" fontId="4" fillId="2" borderId="1" pivotButton="0" quotePrefix="0" xfId="0"/>
    <xf numFmtId="0" fontId="5" fillId="0" borderId="0" pivotButton="0" quotePrefix="0" xfId="0"/>
    <xf numFmtId="4" fontId="5" fillId="0" borderId="1" pivotButton="0" quotePrefix="0" xfId="0"/>
    <xf numFmtId="0" fontId="6" fillId="3" borderId="1" applyAlignment="1" pivotButton="0" quotePrefix="0" xfId="0">
      <alignment horizontal="center" vertical="center" wrapText="1"/>
    </xf>
    <xf numFmtId="1" fontId="3" fillId="0" borderId="1" pivotButton="0" quotePrefix="0" xfId="0"/>
    <xf numFmtId="166" fontId="3" fillId="0" borderId="1" pivotButton="0" quotePrefix="0" xfId="0"/>
    <xf numFmtId="4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73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0" customHeight="1">
      <c r="A1" s="1" t="inlineStr">
        <is>
          <t>Loan Calculator</t>
        </is>
      </c>
      <c r="B1" s="2" t="n"/>
      <c r="C1" s="2" t="n"/>
      <c r="D1" s="2" t="n"/>
      <c r="E1" s="2" t="n"/>
      <c r="F1" s="2" t="n"/>
    </row>
    <row r="2">
      <c r="A2" s="3" t="inlineStr">
        <is>
          <t>Enter amount, annual rate and term</t>
        </is>
      </c>
      <c r="B2" s="2" t="n"/>
      <c r="C2" s="2" t="n"/>
      <c r="D2" s="2" t="n"/>
      <c r="E2" s="2" t="n"/>
      <c r="F2" s="2" t="n"/>
    </row>
    <row r="3">
      <c r="A3" s="3" t="inlineStr">
        <is>
          <t>Yellow cells are for you to fill in; white cells calculate automatically.</t>
        </is>
      </c>
      <c r="B3" s="2" t="n"/>
      <c r="C3" s="2" t="n"/>
      <c r="D3" s="2" t="n"/>
      <c r="E3" s="2" t="n"/>
      <c r="F3" s="2" t="n"/>
    </row>
    <row r="4">
      <c r="A4" s="4" t="inlineStr">
        <is>
          <t>Loan amount</t>
        </is>
      </c>
      <c r="B4" s="5" t="n">
        <v>200000</v>
      </c>
      <c r="C4" s="2" t="n"/>
      <c r="D4" s="2" t="n"/>
      <c r="E4" s="2" t="n"/>
      <c r="F4" s="2" t="n"/>
    </row>
    <row r="5">
      <c r="A5" s="4" t="inlineStr">
        <is>
          <t>Annual interest rate</t>
        </is>
      </c>
      <c r="B5" s="6" t="n">
        <v>0.045</v>
      </c>
      <c r="C5" s="2" t="n"/>
      <c r="D5" s="2" t="n"/>
      <c r="E5" s="2" t="n"/>
      <c r="F5" s="2" t="n"/>
    </row>
    <row r="6">
      <c r="A6" s="4" t="inlineStr">
        <is>
          <t>Term (years)</t>
        </is>
      </c>
      <c r="B6" s="7" t="n">
        <v>25</v>
      </c>
      <c r="C6" s="2" t="n"/>
      <c r="D6" s="2" t="n"/>
      <c r="E6" s="2" t="n"/>
      <c r="F6" s="2" t="n"/>
    </row>
    <row r="7">
      <c r="A7" s="4" t="inlineStr">
        <is>
          <t>Start date</t>
        </is>
      </c>
      <c r="B7" s="8" t="n">
        <v>46023</v>
      </c>
      <c r="C7" s="2" t="n"/>
      <c r="D7" s="2" t="n"/>
      <c r="E7" s="2" t="n"/>
      <c r="F7" s="2" t="n"/>
    </row>
    <row r="8">
      <c r="A8" s="2" t="n"/>
      <c r="B8" s="2" t="n"/>
      <c r="C8" s="2" t="n"/>
      <c r="D8" s="2" t="n"/>
      <c r="E8" s="2" t="n"/>
      <c r="F8" s="2" t="n"/>
    </row>
    <row r="9">
      <c r="A9" s="9" t="inlineStr">
        <is>
          <t>Monthly payment</t>
        </is>
      </c>
      <c r="B9" s="10">
        <f>IF(B5=0,B4/(B6*12),-PMT(B5/12,B6*12,B4))</f>
        <v/>
      </c>
      <c r="C9" s="2" t="n"/>
      <c r="D9" s="2" t="n"/>
      <c r="E9" s="2" t="n"/>
      <c r="F9" s="2" t="n"/>
    </row>
    <row r="10">
      <c r="A10" s="9" t="inlineStr">
        <is>
          <t>Total paid</t>
        </is>
      </c>
      <c r="B10" s="10">
        <f>B9*B6*12</f>
        <v/>
      </c>
      <c r="C10" s="2" t="n"/>
      <c r="D10" s="2" t="n"/>
      <c r="E10" s="2" t="n"/>
      <c r="F10" s="2" t="n"/>
    </row>
    <row r="11">
      <c r="A11" s="9" t="inlineStr">
        <is>
          <t>Total interest</t>
        </is>
      </c>
      <c r="B11" s="10">
        <f>B10-B4</f>
        <v/>
      </c>
      <c r="C11" s="2" t="n"/>
      <c r="D11" s="2" t="n"/>
      <c r="E11" s="2" t="n"/>
      <c r="F11" s="2" t="n"/>
    </row>
    <row r="12">
      <c r="A12" s="2" t="n"/>
      <c r="B12" s="2" t="n"/>
      <c r="C12" s="2" t="n"/>
      <c r="D12" s="2" t="n"/>
      <c r="E12" s="2" t="n"/>
      <c r="F12" s="2" t="n"/>
    </row>
    <row r="13" ht="22" customHeight="1">
      <c r="A13" s="11" t="inlineStr">
        <is>
          <t>Month</t>
        </is>
      </c>
      <c r="B13" s="11" t="inlineStr">
        <is>
          <t>Date</t>
        </is>
      </c>
      <c r="C13" s="11" t="inlineStr">
        <is>
          <t>Payment</t>
        </is>
      </c>
      <c r="D13" s="11" t="inlineStr">
        <is>
          <t>Interest</t>
        </is>
      </c>
      <c r="E13" s="11" t="inlineStr">
        <is>
          <t>Principal</t>
        </is>
      </c>
      <c r="F13" s="11" t="inlineStr">
        <is>
          <t>Balance</t>
        </is>
      </c>
    </row>
    <row r="14">
      <c r="A14" s="12" t="n">
        <v>1</v>
      </c>
      <c r="B14" s="13">
        <f>IF(A14="","",DATE(YEAR($B$7),MONTH($B$7)+A14-1,1))</f>
        <v/>
      </c>
      <c r="C14" s="14">
        <f>IF(A14="","",$B$9)</f>
        <v/>
      </c>
      <c r="D14" s="14">
        <f>IF(A14="","",$B$4*$B$5/12)</f>
        <v/>
      </c>
      <c r="E14" s="14">
        <f>IF(A14="","",C14-D14)</f>
        <v/>
      </c>
      <c r="F14" s="14">
        <f>IF(A14="","",MAX(0,$B$4-E14))</f>
        <v/>
      </c>
    </row>
    <row r="15">
      <c r="A15" s="12">
        <f>IF(A14="","",IF(2&gt;$B$6*12,"",2))</f>
        <v/>
      </c>
      <c r="B15" s="13">
        <f>IF(A15="","",DATE(YEAR($B$7),MONTH($B$7)+A15-1,1))</f>
        <v/>
      </c>
      <c r="C15" s="14">
        <f>IF(A15="","",$B$9)</f>
        <v/>
      </c>
      <c r="D15" s="14">
        <f>IF(A15="","",F14*$B$5/12)</f>
        <v/>
      </c>
      <c r="E15" s="14">
        <f>IF(A15="","",C15-D15)</f>
        <v/>
      </c>
      <c r="F15" s="14">
        <f>IF(A15="","",MAX(0,F14-E15))</f>
        <v/>
      </c>
    </row>
    <row r="16">
      <c r="A16" s="12">
        <f>IF(A15="","",IF(3&gt;$B$6*12,"",3))</f>
        <v/>
      </c>
      <c r="B16" s="13">
        <f>IF(A16="","",DATE(YEAR($B$7),MONTH($B$7)+A16-1,1))</f>
        <v/>
      </c>
      <c r="C16" s="14">
        <f>IF(A16="","",$B$9)</f>
        <v/>
      </c>
      <c r="D16" s="14">
        <f>IF(A16="","",F15*$B$5/12)</f>
        <v/>
      </c>
      <c r="E16" s="14">
        <f>IF(A16="","",C16-D16)</f>
        <v/>
      </c>
      <c r="F16" s="14">
        <f>IF(A16="","",MAX(0,F15-E16))</f>
        <v/>
      </c>
    </row>
    <row r="17">
      <c r="A17" s="12">
        <f>IF(A16="","",IF(4&gt;$B$6*12,"",4))</f>
        <v/>
      </c>
      <c r="B17" s="13">
        <f>IF(A17="","",DATE(YEAR($B$7),MONTH($B$7)+A17-1,1))</f>
        <v/>
      </c>
      <c r="C17" s="14">
        <f>IF(A17="","",$B$9)</f>
        <v/>
      </c>
      <c r="D17" s="14">
        <f>IF(A17="","",F16*$B$5/12)</f>
        <v/>
      </c>
      <c r="E17" s="14">
        <f>IF(A17="","",C17-D17)</f>
        <v/>
      </c>
      <c r="F17" s="14">
        <f>IF(A17="","",MAX(0,F16-E17))</f>
        <v/>
      </c>
    </row>
    <row r="18">
      <c r="A18" s="12">
        <f>IF(A17="","",IF(5&gt;$B$6*12,"",5))</f>
        <v/>
      </c>
      <c r="B18" s="13">
        <f>IF(A18="","",DATE(YEAR($B$7),MONTH($B$7)+A18-1,1))</f>
        <v/>
      </c>
      <c r="C18" s="14">
        <f>IF(A18="","",$B$9)</f>
        <v/>
      </c>
      <c r="D18" s="14">
        <f>IF(A18="","",F17*$B$5/12)</f>
        <v/>
      </c>
      <c r="E18" s="14">
        <f>IF(A18="","",C18-D18)</f>
        <v/>
      </c>
      <c r="F18" s="14">
        <f>IF(A18="","",MAX(0,F17-E18))</f>
        <v/>
      </c>
    </row>
    <row r="19">
      <c r="A19" s="12">
        <f>IF(A18="","",IF(6&gt;$B$6*12,"",6))</f>
        <v/>
      </c>
      <c r="B19" s="13">
        <f>IF(A19="","",DATE(YEAR($B$7),MONTH($B$7)+A19-1,1))</f>
        <v/>
      </c>
      <c r="C19" s="14">
        <f>IF(A19="","",$B$9)</f>
        <v/>
      </c>
      <c r="D19" s="14">
        <f>IF(A19="","",F18*$B$5/12)</f>
        <v/>
      </c>
      <c r="E19" s="14">
        <f>IF(A19="","",C19-D19)</f>
        <v/>
      </c>
      <c r="F19" s="14">
        <f>IF(A19="","",MAX(0,F18-E19))</f>
        <v/>
      </c>
    </row>
    <row r="20">
      <c r="A20" s="12">
        <f>IF(A19="","",IF(7&gt;$B$6*12,"",7))</f>
        <v/>
      </c>
      <c r="B20" s="13">
        <f>IF(A20="","",DATE(YEAR($B$7),MONTH($B$7)+A20-1,1))</f>
        <v/>
      </c>
      <c r="C20" s="14">
        <f>IF(A20="","",$B$9)</f>
        <v/>
      </c>
      <c r="D20" s="14">
        <f>IF(A20="","",F19*$B$5/12)</f>
        <v/>
      </c>
      <c r="E20" s="14">
        <f>IF(A20="","",C20-D20)</f>
        <v/>
      </c>
      <c r="F20" s="14">
        <f>IF(A20="","",MAX(0,F19-E20))</f>
        <v/>
      </c>
    </row>
    <row r="21">
      <c r="A21" s="12">
        <f>IF(A20="","",IF(8&gt;$B$6*12,"",8))</f>
        <v/>
      </c>
      <c r="B21" s="13">
        <f>IF(A21="","",DATE(YEAR($B$7),MONTH($B$7)+A21-1,1))</f>
        <v/>
      </c>
      <c r="C21" s="14">
        <f>IF(A21="","",$B$9)</f>
        <v/>
      </c>
      <c r="D21" s="14">
        <f>IF(A21="","",F20*$B$5/12)</f>
        <v/>
      </c>
      <c r="E21" s="14">
        <f>IF(A21="","",C21-D21)</f>
        <v/>
      </c>
      <c r="F21" s="14">
        <f>IF(A21="","",MAX(0,F20-E21))</f>
        <v/>
      </c>
    </row>
    <row r="22">
      <c r="A22" s="12">
        <f>IF(A21="","",IF(9&gt;$B$6*12,"",9))</f>
        <v/>
      </c>
      <c r="B22" s="13">
        <f>IF(A22="","",DATE(YEAR($B$7),MONTH($B$7)+A22-1,1))</f>
        <v/>
      </c>
      <c r="C22" s="14">
        <f>IF(A22="","",$B$9)</f>
        <v/>
      </c>
      <c r="D22" s="14">
        <f>IF(A22="","",F21*$B$5/12)</f>
        <v/>
      </c>
      <c r="E22" s="14">
        <f>IF(A22="","",C22-D22)</f>
        <v/>
      </c>
      <c r="F22" s="14">
        <f>IF(A22="","",MAX(0,F21-E22))</f>
        <v/>
      </c>
    </row>
    <row r="23">
      <c r="A23" s="12">
        <f>IF(A22="","",IF(10&gt;$B$6*12,"",10))</f>
        <v/>
      </c>
      <c r="B23" s="13">
        <f>IF(A23="","",DATE(YEAR($B$7),MONTH($B$7)+A23-1,1))</f>
        <v/>
      </c>
      <c r="C23" s="14">
        <f>IF(A23="","",$B$9)</f>
        <v/>
      </c>
      <c r="D23" s="14">
        <f>IF(A23="","",F22*$B$5/12)</f>
        <v/>
      </c>
      <c r="E23" s="14">
        <f>IF(A23="","",C23-D23)</f>
        <v/>
      </c>
      <c r="F23" s="14">
        <f>IF(A23="","",MAX(0,F22-E23))</f>
        <v/>
      </c>
    </row>
    <row r="24">
      <c r="A24" s="12">
        <f>IF(A23="","",IF(11&gt;$B$6*12,"",11))</f>
        <v/>
      </c>
      <c r="B24" s="13">
        <f>IF(A24="","",DATE(YEAR($B$7),MONTH($B$7)+A24-1,1))</f>
        <v/>
      </c>
      <c r="C24" s="14">
        <f>IF(A24="","",$B$9)</f>
        <v/>
      </c>
      <c r="D24" s="14">
        <f>IF(A24="","",F23*$B$5/12)</f>
        <v/>
      </c>
      <c r="E24" s="14">
        <f>IF(A24="","",C24-D24)</f>
        <v/>
      </c>
      <c r="F24" s="14">
        <f>IF(A24="","",MAX(0,F23-E24))</f>
        <v/>
      </c>
    </row>
    <row r="25">
      <c r="A25" s="12">
        <f>IF(A24="","",IF(12&gt;$B$6*12,"",12))</f>
        <v/>
      </c>
      <c r="B25" s="13">
        <f>IF(A25="","",DATE(YEAR($B$7),MONTH($B$7)+A25-1,1))</f>
        <v/>
      </c>
      <c r="C25" s="14">
        <f>IF(A25="","",$B$9)</f>
        <v/>
      </c>
      <c r="D25" s="14">
        <f>IF(A25="","",F24*$B$5/12)</f>
        <v/>
      </c>
      <c r="E25" s="14">
        <f>IF(A25="","",C25-D25)</f>
        <v/>
      </c>
      <c r="F25" s="14">
        <f>IF(A25="","",MAX(0,F24-E25))</f>
        <v/>
      </c>
    </row>
    <row r="26">
      <c r="A26" s="12">
        <f>IF(A25="","",IF(13&gt;$B$6*12,"",13))</f>
        <v/>
      </c>
      <c r="B26" s="13">
        <f>IF(A26="","",DATE(YEAR($B$7),MONTH($B$7)+A26-1,1))</f>
        <v/>
      </c>
      <c r="C26" s="14">
        <f>IF(A26="","",$B$9)</f>
        <v/>
      </c>
      <c r="D26" s="14">
        <f>IF(A26="","",F25*$B$5/12)</f>
        <v/>
      </c>
      <c r="E26" s="14">
        <f>IF(A26="","",C26-D26)</f>
        <v/>
      </c>
      <c r="F26" s="14">
        <f>IF(A26="","",MAX(0,F25-E26))</f>
        <v/>
      </c>
    </row>
    <row r="27">
      <c r="A27" s="12">
        <f>IF(A26="","",IF(14&gt;$B$6*12,"",14))</f>
        <v/>
      </c>
      <c r="B27" s="13">
        <f>IF(A27="","",DATE(YEAR($B$7),MONTH($B$7)+A27-1,1))</f>
        <v/>
      </c>
      <c r="C27" s="14">
        <f>IF(A27="","",$B$9)</f>
        <v/>
      </c>
      <c r="D27" s="14">
        <f>IF(A27="","",F26*$B$5/12)</f>
        <v/>
      </c>
      <c r="E27" s="14">
        <f>IF(A27="","",C27-D27)</f>
        <v/>
      </c>
      <c r="F27" s="14">
        <f>IF(A27="","",MAX(0,F26-E27))</f>
        <v/>
      </c>
    </row>
    <row r="28">
      <c r="A28" s="12">
        <f>IF(A27="","",IF(15&gt;$B$6*12,"",15))</f>
        <v/>
      </c>
      <c r="B28" s="13">
        <f>IF(A28="","",DATE(YEAR($B$7),MONTH($B$7)+A28-1,1))</f>
        <v/>
      </c>
      <c r="C28" s="14">
        <f>IF(A28="","",$B$9)</f>
        <v/>
      </c>
      <c r="D28" s="14">
        <f>IF(A28="","",F27*$B$5/12)</f>
        <v/>
      </c>
      <c r="E28" s="14">
        <f>IF(A28="","",C28-D28)</f>
        <v/>
      </c>
      <c r="F28" s="14">
        <f>IF(A28="","",MAX(0,F27-E28))</f>
        <v/>
      </c>
    </row>
    <row r="29">
      <c r="A29" s="12">
        <f>IF(A28="","",IF(16&gt;$B$6*12,"",16))</f>
        <v/>
      </c>
      <c r="B29" s="13">
        <f>IF(A29="","",DATE(YEAR($B$7),MONTH($B$7)+A29-1,1))</f>
        <v/>
      </c>
      <c r="C29" s="14">
        <f>IF(A29="","",$B$9)</f>
        <v/>
      </c>
      <c r="D29" s="14">
        <f>IF(A29="","",F28*$B$5/12)</f>
        <v/>
      </c>
      <c r="E29" s="14">
        <f>IF(A29="","",C29-D29)</f>
        <v/>
      </c>
      <c r="F29" s="14">
        <f>IF(A29="","",MAX(0,F28-E29))</f>
        <v/>
      </c>
    </row>
    <row r="30">
      <c r="A30" s="12">
        <f>IF(A29="","",IF(17&gt;$B$6*12,"",17))</f>
        <v/>
      </c>
      <c r="B30" s="13">
        <f>IF(A30="","",DATE(YEAR($B$7),MONTH($B$7)+A30-1,1))</f>
        <v/>
      </c>
      <c r="C30" s="14">
        <f>IF(A30="","",$B$9)</f>
        <v/>
      </c>
      <c r="D30" s="14">
        <f>IF(A30="","",F29*$B$5/12)</f>
        <v/>
      </c>
      <c r="E30" s="14">
        <f>IF(A30="","",C30-D30)</f>
        <v/>
      </c>
      <c r="F30" s="14">
        <f>IF(A30="","",MAX(0,F29-E30))</f>
        <v/>
      </c>
    </row>
    <row r="31">
      <c r="A31" s="12">
        <f>IF(A30="","",IF(18&gt;$B$6*12,"",18))</f>
        <v/>
      </c>
      <c r="B31" s="13">
        <f>IF(A31="","",DATE(YEAR($B$7),MONTH($B$7)+A31-1,1))</f>
        <v/>
      </c>
      <c r="C31" s="14">
        <f>IF(A31="","",$B$9)</f>
        <v/>
      </c>
      <c r="D31" s="14">
        <f>IF(A31="","",F30*$B$5/12)</f>
        <v/>
      </c>
      <c r="E31" s="14">
        <f>IF(A31="","",C31-D31)</f>
        <v/>
      </c>
      <c r="F31" s="14">
        <f>IF(A31="","",MAX(0,F30-E31))</f>
        <v/>
      </c>
    </row>
    <row r="32">
      <c r="A32" s="12">
        <f>IF(A31="","",IF(19&gt;$B$6*12,"",19))</f>
        <v/>
      </c>
      <c r="B32" s="13">
        <f>IF(A32="","",DATE(YEAR($B$7),MONTH($B$7)+A32-1,1))</f>
        <v/>
      </c>
      <c r="C32" s="14">
        <f>IF(A32="","",$B$9)</f>
        <v/>
      </c>
      <c r="D32" s="14">
        <f>IF(A32="","",F31*$B$5/12)</f>
        <v/>
      </c>
      <c r="E32" s="14">
        <f>IF(A32="","",C32-D32)</f>
        <v/>
      </c>
      <c r="F32" s="14">
        <f>IF(A32="","",MAX(0,F31-E32))</f>
        <v/>
      </c>
    </row>
    <row r="33">
      <c r="A33" s="12">
        <f>IF(A32="","",IF(20&gt;$B$6*12,"",20))</f>
        <v/>
      </c>
      <c r="B33" s="13">
        <f>IF(A33="","",DATE(YEAR($B$7),MONTH($B$7)+A33-1,1))</f>
        <v/>
      </c>
      <c r="C33" s="14">
        <f>IF(A33="","",$B$9)</f>
        <v/>
      </c>
      <c r="D33" s="14">
        <f>IF(A33="","",F32*$B$5/12)</f>
        <v/>
      </c>
      <c r="E33" s="14">
        <f>IF(A33="","",C33-D33)</f>
        <v/>
      </c>
      <c r="F33" s="14">
        <f>IF(A33="","",MAX(0,F32-E33))</f>
        <v/>
      </c>
    </row>
    <row r="34">
      <c r="A34" s="12">
        <f>IF(A33="","",IF(21&gt;$B$6*12,"",21))</f>
        <v/>
      </c>
      <c r="B34" s="13">
        <f>IF(A34="","",DATE(YEAR($B$7),MONTH($B$7)+A34-1,1))</f>
        <v/>
      </c>
      <c r="C34" s="14">
        <f>IF(A34="","",$B$9)</f>
        <v/>
      </c>
      <c r="D34" s="14">
        <f>IF(A34="","",F33*$B$5/12)</f>
        <v/>
      </c>
      <c r="E34" s="14">
        <f>IF(A34="","",C34-D34)</f>
        <v/>
      </c>
      <c r="F34" s="14">
        <f>IF(A34="","",MAX(0,F33-E34))</f>
        <v/>
      </c>
    </row>
    <row r="35">
      <c r="A35" s="12">
        <f>IF(A34="","",IF(22&gt;$B$6*12,"",22))</f>
        <v/>
      </c>
      <c r="B35" s="13">
        <f>IF(A35="","",DATE(YEAR($B$7),MONTH($B$7)+A35-1,1))</f>
        <v/>
      </c>
      <c r="C35" s="14">
        <f>IF(A35="","",$B$9)</f>
        <v/>
      </c>
      <c r="D35" s="14">
        <f>IF(A35="","",F34*$B$5/12)</f>
        <v/>
      </c>
      <c r="E35" s="14">
        <f>IF(A35="","",C35-D35)</f>
        <v/>
      </c>
      <c r="F35" s="14">
        <f>IF(A35="","",MAX(0,F34-E35))</f>
        <v/>
      </c>
    </row>
    <row r="36">
      <c r="A36" s="12">
        <f>IF(A35="","",IF(23&gt;$B$6*12,"",23))</f>
        <v/>
      </c>
      <c r="B36" s="13">
        <f>IF(A36="","",DATE(YEAR($B$7),MONTH($B$7)+A36-1,1))</f>
        <v/>
      </c>
      <c r="C36" s="14">
        <f>IF(A36="","",$B$9)</f>
        <v/>
      </c>
      <c r="D36" s="14">
        <f>IF(A36="","",F35*$B$5/12)</f>
        <v/>
      </c>
      <c r="E36" s="14">
        <f>IF(A36="","",C36-D36)</f>
        <v/>
      </c>
      <c r="F36" s="14">
        <f>IF(A36="","",MAX(0,F35-E36))</f>
        <v/>
      </c>
    </row>
    <row r="37">
      <c r="A37" s="12">
        <f>IF(A36="","",IF(24&gt;$B$6*12,"",24))</f>
        <v/>
      </c>
      <c r="B37" s="13">
        <f>IF(A37="","",DATE(YEAR($B$7),MONTH($B$7)+A37-1,1))</f>
        <v/>
      </c>
      <c r="C37" s="14">
        <f>IF(A37="","",$B$9)</f>
        <v/>
      </c>
      <c r="D37" s="14">
        <f>IF(A37="","",F36*$B$5/12)</f>
        <v/>
      </c>
      <c r="E37" s="14">
        <f>IF(A37="","",C37-D37)</f>
        <v/>
      </c>
      <c r="F37" s="14">
        <f>IF(A37="","",MAX(0,F36-E37))</f>
        <v/>
      </c>
    </row>
    <row r="38">
      <c r="A38" s="12">
        <f>IF(A37="","",IF(25&gt;$B$6*12,"",25))</f>
        <v/>
      </c>
      <c r="B38" s="13">
        <f>IF(A38="","",DATE(YEAR($B$7),MONTH($B$7)+A38-1,1))</f>
        <v/>
      </c>
      <c r="C38" s="14">
        <f>IF(A38="","",$B$9)</f>
        <v/>
      </c>
      <c r="D38" s="14">
        <f>IF(A38="","",F37*$B$5/12)</f>
        <v/>
      </c>
      <c r="E38" s="14">
        <f>IF(A38="","",C38-D38)</f>
        <v/>
      </c>
      <c r="F38" s="14">
        <f>IF(A38="","",MAX(0,F37-E38))</f>
        <v/>
      </c>
    </row>
    <row r="39">
      <c r="A39" s="12">
        <f>IF(A38="","",IF(26&gt;$B$6*12,"",26))</f>
        <v/>
      </c>
      <c r="B39" s="13">
        <f>IF(A39="","",DATE(YEAR($B$7),MONTH($B$7)+A39-1,1))</f>
        <v/>
      </c>
      <c r="C39" s="14">
        <f>IF(A39="","",$B$9)</f>
        <v/>
      </c>
      <c r="D39" s="14">
        <f>IF(A39="","",F38*$B$5/12)</f>
        <v/>
      </c>
      <c r="E39" s="14">
        <f>IF(A39="","",C39-D39)</f>
        <v/>
      </c>
      <c r="F39" s="14">
        <f>IF(A39="","",MAX(0,F38-E39))</f>
        <v/>
      </c>
    </row>
    <row r="40">
      <c r="A40" s="12">
        <f>IF(A39="","",IF(27&gt;$B$6*12,"",27))</f>
        <v/>
      </c>
      <c r="B40" s="13">
        <f>IF(A40="","",DATE(YEAR($B$7),MONTH($B$7)+A40-1,1))</f>
        <v/>
      </c>
      <c r="C40" s="14">
        <f>IF(A40="","",$B$9)</f>
        <v/>
      </c>
      <c r="D40" s="14">
        <f>IF(A40="","",F39*$B$5/12)</f>
        <v/>
      </c>
      <c r="E40" s="14">
        <f>IF(A40="","",C40-D40)</f>
        <v/>
      </c>
      <c r="F40" s="14">
        <f>IF(A40="","",MAX(0,F39-E40))</f>
        <v/>
      </c>
    </row>
    <row r="41">
      <c r="A41" s="12">
        <f>IF(A40="","",IF(28&gt;$B$6*12,"",28))</f>
        <v/>
      </c>
      <c r="B41" s="13">
        <f>IF(A41="","",DATE(YEAR($B$7),MONTH($B$7)+A41-1,1))</f>
        <v/>
      </c>
      <c r="C41" s="14">
        <f>IF(A41="","",$B$9)</f>
        <v/>
      </c>
      <c r="D41" s="14">
        <f>IF(A41="","",F40*$B$5/12)</f>
        <v/>
      </c>
      <c r="E41" s="14">
        <f>IF(A41="","",C41-D41)</f>
        <v/>
      </c>
      <c r="F41" s="14">
        <f>IF(A41="","",MAX(0,F40-E41))</f>
        <v/>
      </c>
    </row>
    <row r="42">
      <c r="A42" s="12">
        <f>IF(A41="","",IF(29&gt;$B$6*12,"",29))</f>
        <v/>
      </c>
      <c r="B42" s="13">
        <f>IF(A42="","",DATE(YEAR($B$7),MONTH($B$7)+A42-1,1))</f>
        <v/>
      </c>
      <c r="C42" s="14">
        <f>IF(A42="","",$B$9)</f>
        <v/>
      </c>
      <c r="D42" s="14">
        <f>IF(A42="","",F41*$B$5/12)</f>
        <v/>
      </c>
      <c r="E42" s="14">
        <f>IF(A42="","",C42-D42)</f>
        <v/>
      </c>
      <c r="F42" s="14">
        <f>IF(A42="","",MAX(0,F41-E42))</f>
        <v/>
      </c>
    </row>
    <row r="43">
      <c r="A43" s="12">
        <f>IF(A42="","",IF(30&gt;$B$6*12,"",30))</f>
        <v/>
      </c>
      <c r="B43" s="13">
        <f>IF(A43="","",DATE(YEAR($B$7),MONTH($B$7)+A43-1,1))</f>
        <v/>
      </c>
      <c r="C43" s="14">
        <f>IF(A43="","",$B$9)</f>
        <v/>
      </c>
      <c r="D43" s="14">
        <f>IF(A43="","",F42*$B$5/12)</f>
        <v/>
      </c>
      <c r="E43" s="14">
        <f>IF(A43="","",C43-D43)</f>
        <v/>
      </c>
      <c r="F43" s="14">
        <f>IF(A43="","",MAX(0,F42-E43))</f>
        <v/>
      </c>
    </row>
    <row r="44">
      <c r="A44" s="12">
        <f>IF(A43="","",IF(31&gt;$B$6*12,"",31))</f>
        <v/>
      </c>
      <c r="B44" s="13">
        <f>IF(A44="","",DATE(YEAR($B$7),MONTH($B$7)+A44-1,1))</f>
        <v/>
      </c>
      <c r="C44" s="14">
        <f>IF(A44="","",$B$9)</f>
        <v/>
      </c>
      <c r="D44" s="14">
        <f>IF(A44="","",F43*$B$5/12)</f>
        <v/>
      </c>
      <c r="E44" s="14">
        <f>IF(A44="","",C44-D44)</f>
        <v/>
      </c>
      <c r="F44" s="14">
        <f>IF(A44="","",MAX(0,F43-E44))</f>
        <v/>
      </c>
    </row>
    <row r="45">
      <c r="A45" s="12">
        <f>IF(A44="","",IF(32&gt;$B$6*12,"",32))</f>
        <v/>
      </c>
      <c r="B45" s="13">
        <f>IF(A45="","",DATE(YEAR($B$7),MONTH($B$7)+A45-1,1))</f>
        <v/>
      </c>
      <c r="C45" s="14">
        <f>IF(A45="","",$B$9)</f>
        <v/>
      </c>
      <c r="D45" s="14">
        <f>IF(A45="","",F44*$B$5/12)</f>
        <v/>
      </c>
      <c r="E45" s="14">
        <f>IF(A45="","",C45-D45)</f>
        <v/>
      </c>
      <c r="F45" s="14">
        <f>IF(A45="","",MAX(0,F44-E45))</f>
        <v/>
      </c>
    </row>
    <row r="46">
      <c r="A46" s="12">
        <f>IF(A45="","",IF(33&gt;$B$6*12,"",33))</f>
        <v/>
      </c>
      <c r="B46" s="13">
        <f>IF(A46="","",DATE(YEAR($B$7),MONTH($B$7)+A46-1,1))</f>
        <v/>
      </c>
      <c r="C46" s="14">
        <f>IF(A46="","",$B$9)</f>
        <v/>
      </c>
      <c r="D46" s="14">
        <f>IF(A46="","",F45*$B$5/12)</f>
        <v/>
      </c>
      <c r="E46" s="14">
        <f>IF(A46="","",C46-D46)</f>
        <v/>
      </c>
      <c r="F46" s="14">
        <f>IF(A46="","",MAX(0,F45-E46))</f>
        <v/>
      </c>
    </row>
    <row r="47">
      <c r="A47" s="12">
        <f>IF(A46="","",IF(34&gt;$B$6*12,"",34))</f>
        <v/>
      </c>
      <c r="B47" s="13">
        <f>IF(A47="","",DATE(YEAR($B$7),MONTH($B$7)+A47-1,1))</f>
        <v/>
      </c>
      <c r="C47" s="14">
        <f>IF(A47="","",$B$9)</f>
        <v/>
      </c>
      <c r="D47" s="14">
        <f>IF(A47="","",F46*$B$5/12)</f>
        <v/>
      </c>
      <c r="E47" s="14">
        <f>IF(A47="","",C47-D47)</f>
        <v/>
      </c>
      <c r="F47" s="14">
        <f>IF(A47="","",MAX(0,F46-E47))</f>
        <v/>
      </c>
    </row>
    <row r="48">
      <c r="A48" s="12">
        <f>IF(A47="","",IF(35&gt;$B$6*12,"",35))</f>
        <v/>
      </c>
      <c r="B48" s="13">
        <f>IF(A48="","",DATE(YEAR($B$7),MONTH($B$7)+A48-1,1))</f>
        <v/>
      </c>
      <c r="C48" s="14">
        <f>IF(A48="","",$B$9)</f>
        <v/>
      </c>
      <c r="D48" s="14">
        <f>IF(A48="","",F47*$B$5/12)</f>
        <v/>
      </c>
      <c r="E48" s="14">
        <f>IF(A48="","",C48-D48)</f>
        <v/>
      </c>
      <c r="F48" s="14">
        <f>IF(A48="","",MAX(0,F47-E48))</f>
        <v/>
      </c>
    </row>
    <row r="49">
      <c r="A49" s="12">
        <f>IF(A48="","",IF(36&gt;$B$6*12,"",36))</f>
        <v/>
      </c>
      <c r="B49" s="13">
        <f>IF(A49="","",DATE(YEAR($B$7),MONTH($B$7)+A49-1,1))</f>
        <v/>
      </c>
      <c r="C49" s="14">
        <f>IF(A49="","",$B$9)</f>
        <v/>
      </c>
      <c r="D49" s="14">
        <f>IF(A49="","",F48*$B$5/12)</f>
        <v/>
      </c>
      <c r="E49" s="14">
        <f>IF(A49="","",C49-D49)</f>
        <v/>
      </c>
      <c r="F49" s="14">
        <f>IF(A49="","",MAX(0,F48-E49))</f>
        <v/>
      </c>
    </row>
    <row r="50">
      <c r="A50" s="12">
        <f>IF(A49="","",IF(37&gt;$B$6*12,"",37))</f>
        <v/>
      </c>
      <c r="B50" s="13">
        <f>IF(A50="","",DATE(YEAR($B$7),MONTH($B$7)+A50-1,1))</f>
        <v/>
      </c>
      <c r="C50" s="14">
        <f>IF(A50="","",$B$9)</f>
        <v/>
      </c>
      <c r="D50" s="14">
        <f>IF(A50="","",F49*$B$5/12)</f>
        <v/>
      </c>
      <c r="E50" s="14">
        <f>IF(A50="","",C50-D50)</f>
        <v/>
      </c>
      <c r="F50" s="14">
        <f>IF(A50="","",MAX(0,F49-E50))</f>
        <v/>
      </c>
    </row>
    <row r="51">
      <c r="A51" s="12">
        <f>IF(A50="","",IF(38&gt;$B$6*12,"",38))</f>
        <v/>
      </c>
      <c r="B51" s="13">
        <f>IF(A51="","",DATE(YEAR($B$7),MONTH($B$7)+A51-1,1))</f>
        <v/>
      </c>
      <c r="C51" s="14">
        <f>IF(A51="","",$B$9)</f>
        <v/>
      </c>
      <c r="D51" s="14">
        <f>IF(A51="","",F50*$B$5/12)</f>
        <v/>
      </c>
      <c r="E51" s="14">
        <f>IF(A51="","",C51-D51)</f>
        <v/>
      </c>
      <c r="F51" s="14">
        <f>IF(A51="","",MAX(0,F50-E51))</f>
        <v/>
      </c>
    </row>
    <row r="52">
      <c r="A52" s="12">
        <f>IF(A51="","",IF(39&gt;$B$6*12,"",39))</f>
        <v/>
      </c>
      <c r="B52" s="13">
        <f>IF(A52="","",DATE(YEAR($B$7),MONTH($B$7)+A52-1,1))</f>
        <v/>
      </c>
      <c r="C52" s="14">
        <f>IF(A52="","",$B$9)</f>
        <v/>
      </c>
      <c r="D52" s="14">
        <f>IF(A52="","",F51*$B$5/12)</f>
        <v/>
      </c>
      <c r="E52" s="14">
        <f>IF(A52="","",C52-D52)</f>
        <v/>
      </c>
      <c r="F52" s="14">
        <f>IF(A52="","",MAX(0,F51-E52))</f>
        <v/>
      </c>
    </row>
    <row r="53">
      <c r="A53" s="12">
        <f>IF(A52="","",IF(40&gt;$B$6*12,"",40))</f>
        <v/>
      </c>
      <c r="B53" s="13">
        <f>IF(A53="","",DATE(YEAR($B$7),MONTH($B$7)+A53-1,1))</f>
        <v/>
      </c>
      <c r="C53" s="14">
        <f>IF(A53="","",$B$9)</f>
        <v/>
      </c>
      <c r="D53" s="14">
        <f>IF(A53="","",F52*$B$5/12)</f>
        <v/>
      </c>
      <c r="E53" s="14">
        <f>IF(A53="","",C53-D53)</f>
        <v/>
      </c>
      <c r="F53" s="14">
        <f>IF(A53="","",MAX(0,F52-E53))</f>
        <v/>
      </c>
    </row>
    <row r="54">
      <c r="A54" s="12">
        <f>IF(A53="","",IF(41&gt;$B$6*12,"",41))</f>
        <v/>
      </c>
      <c r="B54" s="13">
        <f>IF(A54="","",DATE(YEAR($B$7),MONTH($B$7)+A54-1,1))</f>
        <v/>
      </c>
      <c r="C54" s="14">
        <f>IF(A54="","",$B$9)</f>
        <v/>
      </c>
      <c r="D54" s="14">
        <f>IF(A54="","",F53*$B$5/12)</f>
        <v/>
      </c>
      <c r="E54" s="14">
        <f>IF(A54="","",C54-D54)</f>
        <v/>
      </c>
      <c r="F54" s="14">
        <f>IF(A54="","",MAX(0,F53-E54))</f>
        <v/>
      </c>
    </row>
    <row r="55">
      <c r="A55" s="12">
        <f>IF(A54="","",IF(42&gt;$B$6*12,"",42))</f>
        <v/>
      </c>
      <c r="B55" s="13">
        <f>IF(A55="","",DATE(YEAR($B$7),MONTH($B$7)+A55-1,1))</f>
        <v/>
      </c>
      <c r="C55" s="14">
        <f>IF(A55="","",$B$9)</f>
        <v/>
      </c>
      <c r="D55" s="14">
        <f>IF(A55="","",F54*$B$5/12)</f>
        <v/>
      </c>
      <c r="E55" s="14">
        <f>IF(A55="","",C55-D55)</f>
        <v/>
      </c>
      <c r="F55" s="14">
        <f>IF(A55="","",MAX(0,F54-E55))</f>
        <v/>
      </c>
    </row>
    <row r="56">
      <c r="A56" s="12">
        <f>IF(A55="","",IF(43&gt;$B$6*12,"",43))</f>
        <v/>
      </c>
      <c r="B56" s="13">
        <f>IF(A56="","",DATE(YEAR($B$7),MONTH($B$7)+A56-1,1))</f>
        <v/>
      </c>
      <c r="C56" s="14">
        <f>IF(A56="","",$B$9)</f>
        <v/>
      </c>
      <c r="D56" s="14">
        <f>IF(A56="","",F55*$B$5/12)</f>
        <v/>
      </c>
      <c r="E56" s="14">
        <f>IF(A56="","",C56-D56)</f>
        <v/>
      </c>
      <c r="F56" s="14">
        <f>IF(A56="","",MAX(0,F55-E56))</f>
        <v/>
      </c>
    </row>
    <row r="57">
      <c r="A57" s="12">
        <f>IF(A56="","",IF(44&gt;$B$6*12,"",44))</f>
        <v/>
      </c>
      <c r="B57" s="13">
        <f>IF(A57="","",DATE(YEAR($B$7),MONTH($B$7)+A57-1,1))</f>
        <v/>
      </c>
      <c r="C57" s="14">
        <f>IF(A57="","",$B$9)</f>
        <v/>
      </c>
      <c r="D57" s="14">
        <f>IF(A57="","",F56*$B$5/12)</f>
        <v/>
      </c>
      <c r="E57" s="14">
        <f>IF(A57="","",C57-D57)</f>
        <v/>
      </c>
      <c r="F57" s="14">
        <f>IF(A57="","",MAX(0,F56-E57))</f>
        <v/>
      </c>
    </row>
    <row r="58">
      <c r="A58" s="12">
        <f>IF(A57="","",IF(45&gt;$B$6*12,"",45))</f>
        <v/>
      </c>
      <c r="B58" s="13">
        <f>IF(A58="","",DATE(YEAR($B$7),MONTH($B$7)+A58-1,1))</f>
        <v/>
      </c>
      <c r="C58" s="14">
        <f>IF(A58="","",$B$9)</f>
        <v/>
      </c>
      <c r="D58" s="14">
        <f>IF(A58="","",F57*$B$5/12)</f>
        <v/>
      </c>
      <c r="E58" s="14">
        <f>IF(A58="","",C58-D58)</f>
        <v/>
      </c>
      <c r="F58" s="14">
        <f>IF(A58="","",MAX(0,F57-E58))</f>
        <v/>
      </c>
    </row>
    <row r="59">
      <c r="A59" s="12">
        <f>IF(A58="","",IF(46&gt;$B$6*12,"",46))</f>
        <v/>
      </c>
      <c r="B59" s="13">
        <f>IF(A59="","",DATE(YEAR($B$7),MONTH($B$7)+A59-1,1))</f>
        <v/>
      </c>
      <c r="C59" s="14">
        <f>IF(A59="","",$B$9)</f>
        <v/>
      </c>
      <c r="D59" s="14">
        <f>IF(A59="","",F58*$B$5/12)</f>
        <v/>
      </c>
      <c r="E59" s="14">
        <f>IF(A59="","",C59-D59)</f>
        <v/>
      </c>
      <c r="F59" s="14">
        <f>IF(A59="","",MAX(0,F58-E59))</f>
        <v/>
      </c>
    </row>
    <row r="60">
      <c r="A60" s="12">
        <f>IF(A59="","",IF(47&gt;$B$6*12,"",47))</f>
        <v/>
      </c>
      <c r="B60" s="13">
        <f>IF(A60="","",DATE(YEAR($B$7),MONTH($B$7)+A60-1,1))</f>
        <v/>
      </c>
      <c r="C60" s="14">
        <f>IF(A60="","",$B$9)</f>
        <v/>
      </c>
      <c r="D60" s="14">
        <f>IF(A60="","",F59*$B$5/12)</f>
        <v/>
      </c>
      <c r="E60" s="14">
        <f>IF(A60="","",C60-D60)</f>
        <v/>
      </c>
      <c r="F60" s="14">
        <f>IF(A60="","",MAX(0,F59-E60))</f>
        <v/>
      </c>
    </row>
    <row r="61">
      <c r="A61" s="12">
        <f>IF(A60="","",IF(48&gt;$B$6*12,"",48))</f>
        <v/>
      </c>
      <c r="B61" s="13">
        <f>IF(A61="","",DATE(YEAR($B$7),MONTH($B$7)+A61-1,1))</f>
        <v/>
      </c>
      <c r="C61" s="14">
        <f>IF(A61="","",$B$9)</f>
        <v/>
      </c>
      <c r="D61" s="14">
        <f>IF(A61="","",F60*$B$5/12)</f>
        <v/>
      </c>
      <c r="E61" s="14">
        <f>IF(A61="","",C61-D61)</f>
        <v/>
      </c>
      <c r="F61" s="14">
        <f>IF(A61="","",MAX(0,F60-E61))</f>
        <v/>
      </c>
    </row>
    <row r="62">
      <c r="A62" s="12">
        <f>IF(A61="","",IF(49&gt;$B$6*12,"",49))</f>
        <v/>
      </c>
      <c r="B62" s="13">
        <f>IF(A62="","",DATE(YEAR($B$7),MONTH($B$7)+A62-1,1))</f>
        <v/>
      </c>
      <c r="C62" s="14">
        <f>IF(A62="","",$B$9)</f>
        <v/>
      </c>
      <c r="D62" s="14">
        <f>IF(A62="","",F61*$B$5/12)</f>
        <v/>
      </c>
      <c r="E62" s="14">
        <f>IF(A62="","",C62-D62)</f>
        <v/>
      </c>
      <c r="F62" s="14">
        <f>IF(A62="","",MAX(0,F61-E62))</f>
        <v/>
      </c>
    </row>
    <row r="63">
      <c r="A63" s="12">
        <f>IF(A62="","",IF(50&gt;$B$6*12,"",50))</f>
        <v/>
      </c>
      <c r="B63" s="13">
        <f>IF(A63="","",DATE(YEAR($B$7),MONTH($B$7)+A63-1,1))</f>
        <v/>
      </c>
      <c r="C63" s="14">
        <f>IF(A63="","",$B$9)</f>
        <v/>
      </c>
      <c r="D63" s="14">
        <f>IF(A63="","",F62*$B$5/12)</f>
        <v/>
      </c>
      <c r="E63" s="14">
        <f>IF(A63="","",C63-D63)</f>
        <v/>
      </c>
      <c r="F63" s="14">
        <f>IF(A63="","",MAX(0,F62-E63))</f>
        <v/>
      </c>
    </row>
    <row r="64">
      <c r="A64" s="12">
        <f>IF(A63="","",IF(51&gt;$B$6*12,"",51))</f>
        <v/>
      </c>
      <c r="B64" s="13">
        <f>IF(A64="","",DATE(YEAR($B$7),MONTH($B$7)+A64-1,1))</f>
        <v/>
      </c>
      <c r="C64" s="14">
        <f>IF(A64="","",$B$9)</f>
        <v/>
      </c>
      <c r="D64" s="14">
        <f>IF(A64="","",F63*$B$5/12)</f>
        <v/>
      </c>
      <c r="E64" s="14">
        <f>IF(A64="","",C64-D64)</f>
        <v/>
      </c>
      <c r="F64" s="14">
        <f>IF(A64="","",MAX(0,F63-E64))</f>
        <v/>
      </c>
    </row>
    <row r="65">
      <c r="A65" s="12">
        <f>IF(A64="","",IF(52&gt;$B$6*12,"",52))</f>
        <v/>
      </c>
      <c r="B65" s="13">
        <f>IF(A65="","",DATE(YEAR($B$7),MONTH($B$7)+A65-1,1))</f>
        <v/>
      </c>
      <c r="C65" s="14">
        <f>IF(A65="","",$B$9)</f>
        <v/>
      </c>
      <c r="D65" s="14">
        <f>IF(A65="","",F64*$B$5/12)</f>
        <v/>
      </c>
      <c r="E65" s="14">
        <f>IF(A65="","",C65-D65)</f>
        <v/>
      </c>
      <c r="F65" s="14">
        <f>IF(A65="","",MAX(0,F64-E65))</f>
        <v/>
      </c>
    </row>
    <row r="66">
      <c r="A66" s="12">
        <f>IF(A65="","",IF(53&gt;$B$6*12,"",53))</f>
        <v/>
      </c>
      <c r="B66" s="13">
        <f>IF(A66="","",DATE(YEAR($B$7),MONTH($B$7)+A66-1,1))</f>
        <v/>
      </c>
      <c r="C66" s="14">
        <f>IF(A66="","",$B$9)</f>
        <v/>
      </c>
      <c r="D66" s="14">
        <f>IF(A66="","",F65*$B$5/12)</f>
        <v/>
      </c>
      <c r="E66" s="14">
        <f>IF(A66="","",C66-D66)</f>
        <v/>
      </c>
      <c r="F66" s="14">
        <f>IF(A66="","",MAX(0,F65-E66))</f>
        <v/>
      </c>
    </row>
    <row r="67">
      <c r="A67" s="12">
        <f>IF(A66="","",IF(54&gt;$B$6*12,"",54))</f>
        <v/>
      </c>
      <c r="B67" s="13">
        <f>IF(A67="","",DATE(YEAR($B$7),MONTH($B$7)+A67-1,1))</f>
        <v/>
      </c>
      <c r="C67" s="14">
        <f>IF(A67="","",$B$9)</f>
        <v/>
      </c>
      <c r="D67" s="14">
        <f>IF(A67="","",F66*$B$5/12)</f>
        <v/>
      </c>
      <c r="E67" s="14">
        <f>IF(A67="","",C67-D67)</f>
        <v/>
      </c>
      <c r="F67" s="14">
        <f>IF(A67="","",MAX(0,F66-E67))</f>
        <v/>
      </c>
    </row>
    <row r="68">
      <c r="A68" s="12">
        <f>IF(A67="","",IF(55&gt;$B$6*12,"",55))</f>
        <v/>
      </c>
      <c r="B68" s="13">
        <f>IF(A68="","",DATE(YEAR($B$7),MONTH($B$7)+A68-1,1))</f>
        <v/>
      </c>
      <c r="C68" s="14">
        <f>IF(A68="","",$B$9)</f>
        <v/>
      </c>
      <c r="D68" s="14">
        <f>IF(A68="","",F67*$B$5/12)</f>
        <v/>
      </c>
      <c r="E68" s="14">
        <f>IF(A68="","",C68-D68)</f>
        <v/>
      </c>
      <c r="F68" s="14">
        <f>IF(A68="","",MAX(0,F67-E68))</f>
        <v/>
      </c>
    </row>
    <row r="69">
      <c r="A69" s="12">
        <f>IF(A68="","",IF(56&gt;$B$6*12,"",56))</f>
        <v/>
      </c>
      <c r="B69" s="13">
        <f>IF(A69="","",DATE(YEAR($B$7),MONTH($B$7)+A69-1,1))</f>
        <v/>
      </c>
      <c r="C69" s="14">
        <f>IF(A69="","",$B$9)</f>
        <v/>
      </c>
      <c r="D69" s="14">
        <f>IF(A69="","",F68*$B$5/12)</f>
        <v/>
      </c>
      <c r="E69" s="14">
        <f>IF(A69="","",C69-D69)</f>
        <v/>
      </c>
      <c r="F69" s="14">
        <f>IF(A69="","",MAX(0,F68-E69))</f>
        <v/>
      </c>
    </row>
    <row r="70">
      <c r="A70" s="12">
        <f>IF(A69="","",IF(57&gt;$B$6*12,"",57))</f>
        <v/>
      </c>
      <c r="B70" s="13">
        <f>IF(A70="","",DATE(YEAR($B$7),MONTH($B$7)+A70-1,1))</f>
        <v/>
      </c>
      <c r="C70" s="14">
        <f>IF(A70="","",$B$9)</f>
        <v/>
      </c>
      <c r="D70" s="14">
        <f>IF(A70="","",F69*$B$5/12)</f>
        <v/>
      </c>
      <c r="E70" s="14">
        <f>IF(A70="","",C70-D70)</f>
        <v/>
      </c>
      <c r="F70" s="14">
        <f>IF(A70="","",MAX(0,F69-E70))</f>
        <v/>
      </c>
    </row>
    <row r="71">
      <c r="A71" s="12">
        <f>IF(A70="","",IF(58&gt;$B$6*12,"",58))</f>
        <v/>
      </c>
      <c r="B71" s="13">
        <f>IF(A71="","",DATE(YEAR($B$7),MONTH($B$7)+A71-1,1))</f>
        <v/>
      </c>
      <c r="C71" s="14">
        <f>IF(A71="","",$B$9)</f>
        <v/>
      </c>
      <c r="D71" s="14">
        <f>IF(A71="","",F70*$B$5/12)</f>
        <v/>
      </c>
      <c r="E71" s="14">
        <f>IF(A71="","",C71-D71)</f>
        <v/>
      </c>
      <c r="F71" s="14">
        <f>IF(A71="","",MAX(0,F70-E71))</f>
        <v/>
      </c>
    </row>
    <row r="72">
      <c r="A72" s="12">
        <f>IF(A71="","",IF(59&gt;$B$6*12,"",59))</f>
        <v/>
      </c>
      <c r="B72" s="13">
        <f>IF(A72="","",DATE(YEAR($B$7),MONTH($B$7)+A72-1,1))</f>
        <v/>
      </c>
      <c r="C72" s="14">
        <f>IF(A72="","",$B$9)</f>
        <v/>
      </c>
      <c r="D72" s="14">
        <f>IF(A72="","",F71*$B$5/12)</f>
        <v/>
      </c>
      <c r="E72" s="14">
        <f>IF(A72="","",C72-D72)</f>
        <v/>
      </c>
      <c r="F72" s="14">
        <f>IF(A72="","",MAX(0,F71-E72))</f>
        <v/>
      </c>
    </row>
    <row r="73">
      <c r="A73" s="12">
        <f>IF(A72="","",IF(60&gt;$B$6*12,"",60))</f>
        <v/>
      </c>
      <c r="B73" s="13">
        <f>IF(A73="","",DATE(YEAR($B$7),MONTH($B$7)+A73-1,1))</f>
        <v/>
      </c>
      <c r="C73" s="14">
        <f>IF(A73="","",$B$9)</f>
        <v/>
      </c>
      <c r="D73" s="14">
        <f>IF(A73="","",F72*$B$5/12)</f>
        <v/>
      </c>
      <c r="E73" s="14">
        <f>IF(A73="","",C73-D73)</f>
        <v/>
      </c>
      <c r="F73" s="14">
        <f>IF(A73="","",MAX(0,F72-E73))</f>
        <v/>
      </c>
    </row>
    <row r="74">
      <c r="A74" s="12">
        <f>IF(A73="","",IF(61&gt;$B$6*12,"",61))</f>
        <v/>
      </c>
      <c r="B74" s="13">
        <f>IF(A74="","",DATE(YEAR($B$7),MONTH($B$7)+A74-1,1))</f>
        <v/>
      </c>
      <c r="C74" s="14">
        <f>IF(A74="","",$B$9)</f>
        <v/>
      </c>
      <c r="D74" s="14">
        <f>IF(A74="","",F73*$B$5/12)</f>
        <v/>
      </c>
      <c r="E74" s="14">
        <f>IF(A74="","",C74-D74)</f>
        <v/>
      </c>
      <c r="F74" s="14">
        <f>IF(A74="","",MAX(0,F73-E74))</f>
        <v/>
      </c>
    </row>
    <row r="75">
      <c r="A75" s="12">
        <f>IF(A74="","",IF(62&gt;$B$6*12,"",62))</f>
        <v/>
      </c>
      <c r="B75" s="13">
        <f>IF(A75="","",DATE(YEAR($B$7),MONTH($B$7)+A75-1,1))</f>
        <v/>
      </c>
      <c r="C75" s="14">
        <f>IF(A75="","",$B$9)</f>
        <v/>
      </c>
      <c r="D75" s="14">
        <f>IF(A75="","",F74*$B$5/12)</f>
        <v/>
      </c>
      <c r="E75" s="14">
        <f>IF(A75="","",C75-D75)</f>
        <v/>
      </c>
      <c r="F75" s="14">
        <f>IF(A75="","",MAX(0,F74-E75))</f>
        <v/>
      </c>
    </row>
    <row r="76">
      <c r="A76" s="12">
        <f>IF(A75="","",IF(63&gt;$B$6*12,"",63))</f>
        <v/>
      </c>
      <c r="B76" s="13">
        <f>IF(A76="","",DATE(YEAR($B$7),MONTH($B$7)+A76-1,1))</f>
        <v/>
      </c>
      <c r="C76" s="14">
        <f>IF(A76="","",$B$9)</f>
        <v/>
      </c>
      <c r="D76" s="14">
        <f>IF(A76="","",F75*$B$5/12)</f>
        <v/>
      </c>
      <c r="E76" s="14">
        <f>IF(A76="","",C76-D76)</f>
        <v/>
      </c>
      <c r="F76" s="14">
        <f>IF(A76="","",MAX(0,F75-E76))</f>
        <v/>
      </c>
    </row>
    <row r="77">
      <c r="A77" s="12">
        <f>IF(A76="","",IF(64&gt;$B$6*12,"",64))</f>
        <v/>
      </c>
      <c r="B77" s="13">
        <f>IF(A77="","",DATE(YEAR($B$7),MONTH($B$7)+A77-1,1))</f>
        <v/>
      </c>
      <c r="C77" s="14">
        <f>IF(A77="","",$B$9)</f>
        <v/>
      </c>
      <c r="D77" s="14">
        <f>IF(A77="","",F76*$B$5/12)</f>
        <v/>
      </c>
      <c r="E77" s="14">
        <f>IF(A77="","",C77-D77)</f>
        <v/>
      </c>
      <c r="F77" s="14">
        <f>IF(A77="","",MAX(0,F76-E77))</f>
        <v/>
      </c>
    </row>
    <row r="78">
      <c r="A78" s="12">
        <f>IF(A77="","",IF(65&gt;$B$6*12,"",65))</f>
        <v/>
      </c>
      <c r="B78" s="13">
        <f>IF(A78="","",DATE(YEAR($B$7),MONTH($B$7)+A78-1,1))</f>
        <v/>
      </c>
      <c r="C78" s="14">
        <f>IF(A78="","",$B$9)</f>
        <v/>
      </c>
      <c r="D78" s="14">
        <f>IF(A78="","",F77*$B$5/12)</f>
        <v/>
      </c>
      <c r="E78" s="14">
        <f>IF(A78="","",C78-D78)</f>
        <v/>
      </c>
      <c r="F78" s="14">
        <f>IF(A78="","",MAX(0,F77-E78))</f>
        <v/>
      </c>
    </row>
    <row r="79">
      <c r="A79" s="12">
        <f>IF(A78="","",IF(66&gt;$B$6*12,"",66))</f>
        <v/>
      </c>
      <c r="B79" s="13">
        <f>IF(A79="","",DATE(YEAR($B$7),MONTH($B$7)+A79-1,1))</f>
        <v/>
      </c>
      <c r="C79" s="14">
        <f>IF(A79="","",$B$9)</f>
        <v/>
      </c>
      <c r="D79" s="14">
        <f>IF(A79="","",F78*$B$5/12)</f>
        <v/>
      </c>
      <c r="E79" s="14">
        <f>IF(A79="","",C79-D79)</f>
        <v/>
      </c>
      <c r="F79" s="14">
        <f>IF(A79="","",MAX(0,F78-E79))</f>
        <v/>
      </c>
    </row>
    <row r="80">
      <c r="A80" s="12">
        <f>IF(A79="","",IF(67&gt;$B$6*12,"",67))</f>
        <v/>
      </c>
      <c r="B80" s="13">
        <f>IF(A80="","",DATE(YEAR($B$7),MONTH($B$7)+A80-1,1))</f>
        <v/>
      </c>
      <c r="C80" s="14">
        <f>IF(A80="","",$B$9)</f>
        <v/>
      </c>
      <c r="D80" s="14">
        <f>IF(A80="","",F79*$B$5/12)</f>
        <v/>
      </c>
      <c r="E80" s="14">
        <f>IF(A80="","",C80-D80)</f>
        <v/>
      </c>
      <c r="F80" s="14">
        <f>IF(A80="","",MAX(0,F79-E80))</f>
        <v/>
      </c>
    </row>
    <row r="81">
      <c r="A81" s="12">
        <f>IF(A80="","",IF(68&gt;$B$6*12,"",68))</f>
        <v/>
      </c>
      <c r="B81" s="13">
        <f>IF(A81="","",DATE(YEAR($B$7),MONTH($B$7)+A81-1,1))</f>
        <v/>
      </c>
      <c r="C81" s="14">
        <f>IF(A81="","",$B$9)</f>
        <v/>
      </c>
      <c r="D81" s="14">
        <f>IF(A81="","",F80*$B$5/12)</f>
        <v/>
      </c>
      <c r="E81" s="14">
        <f>IF(A81="","",C81-D81)</f>
        <v/>
      </c>
      <c r="F81" s="14">
        <f>IF(A81="","",MAX(0,F80-E81))</f>
        <v/>
      </c>
    </row>
    <row r="82">
      <c r="A82" s="12">
        <f>IF(A81="","",IF(69&gt;$B$6*12,"",69))</f>
        <v/>
      </c>
      <c r="B82" s="13">
        <f>IF(A82="","",DATE(YEAR($B$7),MONTH($B$7)+A82-1,1))</f>
        <v/>
      </c>
      <c r="C82" s="14">
        <f>IF(A82="","",$B$9)</f>
        <v/>
      </c>
      <c r="D82" s="14">
        <f>IF(A82="","",F81*$B$5/12)</f>
        <v/>
      </c>
      <c r="E82" s="14">
        <f>IF(A82="","",C82-D82)</f>
        <v/>
      </c>
      <c r="F82" s="14">
        <f>IF(A82="","",MAX(0,F81-E82))</f>
        <v/>
      </c>
    </row>
    <row r="83">
      <c r="A83" s="12">
        <f>IF(A82="","",IF(70&gt;$B$6*12,"",70))</f>
        <v/>
      </c>
      <c r="B83" s="13">
        <f>IF(A83="","",DATE(YEAR($B$7),MONTH($B$7)+A83-1,1))</f>
        <v/>
      </c>
      <c r="C83" s="14">
        <f>IF(A83="","",$B$9)</f>
        <v/>
      </c>
      <c r="D83" s="14">
        <f>IF(A83="","",F82*$B$5/12)</f>
        <v/>
      </c>
      <c r="E83" s="14">
        <f>IF(A83="","",C83-D83)</f>
        <v/>
      </c>
      <c r="F83" s="14">
        <f>IF(A83="","",MAX(0,F82-E83))</f>
        <v/>
      </c>
    </row>
    <row r="84">
      <c r="A84" s="12">
        <f>IF(A83="","",IF(71&gt;$B$6*12,"",71))</f>
        <v/>
      </c>
      <c r="B84" s="13">
        <f>IF(A84="","",DATE(YEAR($B$7),MONTH($B$7)+A84-1,1))</f>
        <v/>
      </c>
      <c r="C84" s="14">
        <f>IF(A84="","",$B$9)</f>
        <v/>
      </c>
      <c r="D84" s="14">
        <f>IF(A84="","",F83*$B$5/12)</f>
        <v/>
      </c>
      <c r="E84" s="14">
        <f>IF(A84="","",C84-D84)</f>
        <v/>
      </c>
      <c r="F84" s="14">
        <f>IF(A84="","",MAX(0,F83-E84))</f>
        <v/>
      </c>
    </row>
    <row r="85">
      <c r="A85" s="12">
        <f>IF(A84="","",IF(72&gt;$B$6*12,"",72))</f>
        <v/>
      </c>
      <c r="B85" s="13">
        <f>IF(A85="","",DATE(YEAR($B$7),MONTH($B$7)+A85-1,1))</f>
        <v/>
      </c>
      <c r="C85" s="14">
        <f>IF(A85="","",$B$9)</f>
        <v/>
      </c>
      <c r="D85" s="14">
        <f>IF(A85="","",F84*$B$5/12)</f>
        <v/>
      </c>
      <c r="E85" s="14">
        <f>IF(A85="","",C85-D85)</f>
        <v/>
      </c>
      <c r="F85" s="14">
        <f>IF(A85="","",MAX(0,F84-E85))</f>
        <v/>
      </c>
    </row>
    <row r="86">
      <c r="A86" s="12">
        <f>IF(A85="","",IF(73&gt;$B$6*12,"",73))</f>
        <v/>
      </c>
      <c r="B86" s="13">
        <f>IF(A86="","",DATE(YEAR($B$7),MONTH($B$7)+A86-1,1))</f>
        <v/>
      </c>
      <c r="C86" s="14">
        <f>IF(A86="","",$B$9)</f>
        <v/>
      </c>
      <c r="D86" s="14">
        <f>IF(A86="","",F85*$B$5/12)</f>
        <v/>
      </c>
      <c r="E86" s="14">
        <f>IF(A86="","",C86-D86)</f>
        <v/>
      </c>
      <c r="F86" s="14">
        <f>IF(A86="","",MAX(0,F85-E86))</f>
        <v/>
      </c>
    </row>
    <row r="87">
      <c r="A87" s="12">
        <f>IF(A86="","",IF(74&gt;$B$6*12,"",74))</f>
        <v/>
      </c>
      <c r="B87" s="13">
        <f>IF(A87="","",DATE(YEAR($B$7),MONTH($B$7)+A87-1,1))</f>
        <v/>
      </c>
      <c r="C87" s="14">
        <f>IF(A87="","",$B$9)</f>
        <v/>
      </c>
      <c r="D87" s="14">
        <f>IF(A87="","",F86*$B$5/12)</f>
        <v/>
      </c>
      <c r="E87" s="14">
        <f>IF(A87="","",C87-D87)</f>
        <v/>
      </c>
      <c r="F87" s="14">
        <f>IF(A87="","",MAX(0,F86-E87))</f>
        <v/>
      </c>
    </row>
    <row r="88">
      <c r="A88" s="12">
        <f>IF(A87="","",IF(75&gt;$B$6*12,"",75))</f>
        <v/>
      </c>
      <c r="B88" s="13">
        <f>IF(A88="","",DATE(YEAR($B$7),MONTH($B$7)+A88-1,1))</f>
        <v/>
      </c>
      <c r="C88" s="14">
        <f>IF(A88="","",$B$9)</f>
        <v/>
      </c>
      <c r="D88" s="14">
        <f>IF(A88="","",F87*$B$5/12)</f>
        <v/>
      </c>
      <c r="E88" s="14">
        <f>IF(A88="","",C88-D88)</f>
        <v/>
      </c>
      <c r="F88" s="14">
        <f>IF(A88="","",MAX(0,F87-E88))</f>
        <v/>
      </c>
    </row>
    <row r="89">
      <c r="A89" s="12">
        <f>IF(A88="","",IF(76&gt;$B$6*12,"",76))</f>
        <v/>
      </c>
      <c r="B89" s="13">
        <f>IF(A89="","",DATE(YEAR($B$7),MONTH($B$7)+A89-1,1))</f>
        <v/>
      </c>
      <c r="C89" s="14">
        <f>IF(A89="","",$B$9)</f>
        <v/>
      </c>
      <c r="D89" s="14">
        <f>IF(A89="","",F88*$B$5/12)</f>
        <v/>
      </c>
      <c r="E89" s="14">
        <f>IF(A89="","",C89-D89)</f>
        <v/>
      </c>
      <c r="F89" s="14">
        <f>IF(A89="","",MAX(0,F88-E89))</f>
        <v/>
      </c>
    </row>
    <row r="90">
      <c r="A90" s="12">
        <f>IF(A89="","",IF(77&gt;$B$6*12,"",77))</f>
        <v/>
      </c>
      <c r="B90" s="13">
        <f>IF(A90="","",DATE(YEAR($B$7),MONTH($B$7)+A90-1,1))</f>
        <v/>
      </c>
      <c r="C90" s="14">
        <f>IF(A90="","",$B$9)</f>
        <v/>
      </c>
      <c r="D90" s="14">
        <f>IF(A90="","",F89*$B$5/12)</f>
        <v/>
      </c>
      <c r="E90" s="14">
        <f>IF(A90="","",C90-D90)</f>
        <v/>
      </c>
      <c r="F90" s="14">
        <f>IF(A90="","",MAX(0,F89-E90))</f>
        <v/>
      </c>
    </row>
    <row r="91">
      <c r="A91" s="12">
        <f>IF(A90="","",IF(78&gt;$B$6*12,"",78))</f>
        <v/>
      </c>
      <c r="B91" s="13">
        <f>IF(A91="","",DATE(YEAR($B$7),MONTH($B$7)+A91-1,1))</f>
        <v/>
      </c>
      <c r="C91" s="14">
        <f>IF(A91="","",$B$9)</f>
        <v/>
      </c>
      <c r="D91" s="14">
        <f>IF(A91="","",F90*$B$5/12)</f>
        <v/>
      </c>
      <c r="E91" s="14">
        <f>IF(A91="","",C91-D91)</f>
        <v/>
      </c>
      <c r="F91" s="14">
        <f>IF(A91="","",MAX(0,F90-E91))</f>
        <v/>
      </c>
    </row>
    <row r="92">
      <c r="A92" s="12">
        <f>IF(A91="","",IF(79&gt;$B$6*12,"",79))</f>
        <v/>
      </c>
      <c r="B92" s="13">
        <f>IF(A92="","",DATE(YEAR($B$7),MONTH($B$7)+A92-1,1))</f>
        <v/>
      </c>
      <c r="C92" s="14">
        <f>IF(A92="","",$B$9)</f>
        <v/>
      </c>
      <c r="D92" s="14">
        <f>IF(A92="","",F91*$B$5/12)</f>
        <v/>
      </c>
      <c r="E92" s="14">
        <f>IF(A92="","",C92-D92)</f>
        <v/>
      </c>
      <c r="F92" s="14">
        <f>IF(A92="","",MAX(0,F91-E92))</f>
        <v/>
      </c>
    </row>
    <row r="93">
      <c r="A93" s="12">
        <f>IF(A92="","",IF(80&gt;$B$6*12,"",80))</f>
        <v/>
      </c>
      <c r="B93" s="13">
        <f>IF(A93="","",DATE(YEAR($B$7),MONTH($B$7)+A93-1,1))</f>
        <v/>
      </c>
      <c r="C93" s="14">
        <f>IF(A93="","",$B$9)</f>
        <v/>
      </c>
      <c r="D93" s="14">
        <f>IF(A93="","",F92*$B$5/12)</f>
        <v/>
      </c>
      <c r="E93" s="14">
        <f>IF(A93="","",C93-D93)</f>
        <v/>
      </c>
      <c r="F93" s="14">
        <f>IF(A93="","",MAX(0,F92-E93))</f>
        <v/>
      </c>
    </row>
    <row r="94">
      <c r="A94" s="12">
        <f>IF(A93="","",IF(81&gt;$B$6*12,"",81))</f>
        <v/>
      </c>
      <c r="B94" s="13">
        <f>IF(A94="","",DATE(YEAR($B$7),MONTH($B$7)+A94-1,1))</f>
        <v/>
      </c>
      <c r="C94" s="14">
        <f>IF(A94="","",$B$9)</f>
        <v/>
      </c>
      <c r="D94" s="14">
        <f>IF(A94="","",F93*$B$5/12)</f>
        <v/>
      </c>
      <c r="E94" s="14">
        <f>IF(A94="","",C94-D94)</f>
        <v/>
      </c>
      <c r="F94" s="14">
        <f>IF(A94="","",MAX(0,F93-E94))</f>
        <v/>
      </c>
    </row>
    <row r="95">
      <c r="A95" s="12">
        <f>IF(A94="","",IF(82&gt;$B$6*12,"",82))</f>
        <v/>
      </c>
      <c r="B95" s="13">
        <f>IF(A95="","",DATE(YEAR($B$7),MONTH($B$7)+A95-1,1))</f>
        <v/>
      </c>
      <c r="C95" s="14">
        <f>IF(A95="","",$B$9)</f>
        <v/>
      </c>
      <c r="D95" s="14">
        <f>IF(A95="","",F94*$B$5/12)</f>
        <v/>
      </c>
      <c r="E95" s="14">
        <f>IF(A95="","",C95-D95)</f>
        <v/>
      </c>
      <c r="F95" s="14">
        <f>IF(A95="","",MAX(0,F94-E95))</f>
        <v/>
      </c>
    </row>
    <row r="96">
      <c r="A96" s="12">
        <f>IF(A95="","",IF(83&gt;$B$6*12,"",83))</f>
        <v/>
      </c>
      <c r="B96" s="13">
        <f>IF(A96="","",DATE(YEAR($B$7),MONTH($B$7)+A96-1,1))</f>
        <v/>
      </c>
      <c r="C96" s="14">
        <f>IF(A96="","",$B$9)</f>
        <v/>
      </c>
      <c r="D96" s="14">
        <f>IF(A96="","",F95*$B$5/12)</f>
        <v/>
      </c>
      <c r="E96" s="14">
        <f>IF(A96="","",C96-D96)</f>
        <v/>
      </c>
      <c r="F96" s="14">
        <f>IF(A96="","",MAX(0,F95-E96))</f>
        <v/>
      </c>
    </row>
    <row r="97">
      <c r="A97" s="12">
        <f>IF(A96="","",IF(84&gt;$B$6*12,"",84))</f>
        <v/>
      </c>
      <c r="B97" s="13">
        <f>IF(A97="","",DATE(YEAR($B$7),MONTH($B$7)+A97-1,1))</f>
        <v/>
      </c>
      <c r="C97" s="14">
        <f>IF(A97="","",$B$9)</f>
        <v/>
      </c>
      <c r="D97" s="14">
        <f>IF(A97="","",F96*$B$5/12)</f>
        <v/>
      </c>
      <c r="E97" s="14">
        <f>IF(A97="","",C97-D97)</f>
        <v/>
      </c>
      <c r="F97" s="14">
        <f>IF(A97="","",MAX(0,F96-E97))</f>
        <v/>
      </c>
    </row>
    <row r="98">
      <c r="A98" s="12">
        <f>IF(A97="","",IF(85&gt;$B$6*12,"",85))</f>
        <v/>
      </c>
      <c r="B98" s="13">
        <f>IF(A98="","",DATE(YEAR($B$7),MONTH($B$7)+A98-1,1))</f>
        <v/>
      </c>
      <c r="C98" s="14">
        <f>IF(A98="","",$B$9)</f>
        <v/>
      </c>
      <c r="D98" s="14">
        <f>IF(A98="","",F97*$B$5/12)</f>
        <v/>
      </c>
      <c r="E98" s="14">
        <f>IF(A98="","",C98-D98)</f>
        <v/>
      </c>
      <c r="F98" s="14">
        <f>IF(A98="","",MAX(0,F97-E98))</f>
        <v/>
      </c>
    </row>
    <row r="99">
      <c r="A99" s="12">
        <f>IF(A98="","",IF(86&gt;$B$6*12,"",86))</f>
        <v/>
      </c>
      <c r="B99" s="13">
        <f>IF(A99="","",DATE(YEAR($B$7),MONTH($B$7)+A99-1,1))</f>
        <v/>
      </c>
      <c r="C99" s="14">
        <f>IF(A99="","",$B$9)</f>
        <v/>
      </c>
      <c r="D99" s="14">
        <f>IF(A99="","",F98*$B$5/12)</f>
        <v/>
      </c>
      <c r="E99" s="14">
        <f>IF(A99="","",C99-D99)</f>
        <v/>
      </c>
      <c r="F99" s="14">
        <f>IF(A99="","",MAX(0,F98-E99))</f>
        <v/>
      </c>
    </row>
    <row r="100">
      <c r="A100" s="12">
        <f>IF(A99="","",IF(87&gt;$B$6*12,"",87))</f>
        <v/>
      </c>
      <c r="B100" s="13">
        <f>IF(A100="","",DATE(YEAR($B$7),MONTH($B$7)+A100-1,1))</f>
        <v/>
      </c>
      <c r="C100" s="14">
        <f>IF(A100="","",$B$9)</f>
        <v/>
      </c>
      <c r="D100" s="14">
        <f>IF(A100="","",F99*$B$5/12)</f>
        <v/>
      </c>
      <c r="E100" s="14">
        <f>IF(A100="","",C100-D100)</f>
        <v/>
      </c>
      <c r="F100" s="14">
        <f>IF(A100="","",MAX(0,F99-E100))</f>
        <v/>
      </c>
    </row>
    <row r="101">
      <c r="A101" s="12">
        <f>IF(A100="","",IF(88&gt;$B$6*12,"",88))</f>
        <v/>
      </c>
      <c r="B101" s="13">
        <f>IF(A101="","",DATE(YEAR($B$7),MONTH($B$7)+A101-1,1))</f>
        <v/>
      </c>
      <c r="C101" s="14">
        <f>IF(A101="","",$B$9)</f>
        <v/>
      </c>
      <c r="D101" s="14">
        <f>IF(A101="","",F100*$B$5/12)</f>
        <v/>
      </c>
      <c r="E101" s="14">
        <f>IF(A101="","",C101-D101)</f>
        <v/>
      </c>
      <c r="F101" s="14">
        <f>IF(A101="","",MAX(0,F100-E101))</f>
        <v/>
      </c>
    </row>
    <row r="102">
      <c r="A102" s="12">
        <f>IF(A101="","",IF(89&gt;$B$6*12,"",89))</f>
        <v/>
      </c>
      <c r="B102" s="13">
        <f>IF(A102="","",DATE(YEAR($B$7),MONTH($B$7)+A102-1,1))</f>
        <v/>
      </c>
      <c r="C102" s="14">
        <f>IF(A102="","",$B$9)</f>
        <v/>
      </c>
      <c r="D102" s="14">
        <f>IF(A102="","",F101*$B$5/12)</f>
        <v/>
      </c>
      <c r="E102" s="14">
        <f>IF(A102="","",C102-D102)</f>
        <v/>
      </c>
      <c r="F102" s="14">
        <f>IF(A102="","",MAX(0,F101-E102))</f>
        <v/>
      </c>
    </row>
    <row r="103">
      <c r="A103" s="12">
        <f>IF(A102="","",IF(90&gt;$B$6*12,"",90))</f>
        <v/>
      </c>
      <c r="B103" s="13">
        <f>IF(A103="","",DATE(YEAR($B$7),MONTH($B$7)+A103-1,1))</f>
        <v/>
      </c>
      <c r="C103" s="14">
        <f>IF(A103="","",$B$9)</f>
        <v/>
      </c>
      <c r="D103" s="14">
        <f>IF(A103="","",F102*$B$5/12)</f>
        <v/>
      </c>
      <c r="E103" s="14">
        <f>IF(A103="","",C103-D103)</f>
        <v/>
      </c>
      <c r="F103" s="14">
        <f>IF(A103="","",MAX(0,F102-E103))</f>
        <v/>
      </c>
    </row>
    <row r="104">
      <c r="A104" s="12">
        <f>IF(A103="","",IF(91&gt;$B$6*12,"",91))</f>
        <v/>
      </c>
      <c r="B104" s="13">
        <f>IF(A104="","",DATE(YEAR($B$7),MONTH($B$7)+A104-1,1))</f>
        <v/>
      </c>
      <c r="C104" s="14">
        <f>IF(A104="","",$B$9)</f>
        <v/>
      </c>
      <c r="D104" s="14">
        <f>IF(A104="","",F103*$B$5/12)</f>
        <v/>
      </c>
      <c r="E104" s="14">
        <f>IF(A104="","",C104-D104)</f>
        <v/>
      </c>
      <c r="F104" s="14">
        <f>IF(A104="","",MAX(0,F103-E104))</f>
        <v/>
      </c>
    </row>
    <row r="105">
      <c r="A105" s="12">
        <f>IF(A104="","",IF(92&gt;$B$6*12,"",92))</f>
        <v/>
      </c>
      <c r="B105" s="13">
        <f>IF(A105="","",DATE(YEAR($B$7),MONTH($B$7)+A105-1,1))</f>
        <v/>
      </c>
      <c r="C105" s="14">
        <f>IF(A105="","",$B$9)</f>
        <v/>
      </c>
      <c r="D105" s="14">
        <f>IF(A105="","",F104*$B$5/12)</f>
        <v/>
      </c>
      <c r="E105" s="14">
        <f>IF(A105="","",C105-D105)</f>
        <v/>
      </c>
      <c r="F105" s="14">
        <f>IF(A105="","",MAX(0,F104-E105))</f>
        <v/>
      </c>
    </row>
    <row r="106">
      <c r="A106" s="12">
        <f>IF(A105="","",IF(93&gt;$B$6*12,"",93))</f>
        <v/>
      </c>
      <c r="B106" s="13">
        <f>IF(A106="","",DATE(YEAR($B$7),MONTH($B$7)+A106-1,1))</f>
        <v/>
      </c>
      <c r="C106" s="14">
        <f>IF(A106="","",$B$9)</f>
        <v/>
      </c>
      <c r="D106" s="14">
        <f>IF(A106="","",F105*$B$5/12)</f>
        <v/>
      </c>
      <c r="E106" s="14">
        <f>IF(A106="","",C106-D106)</f>
        <v/>
      </c>
      <c r="F106" s="14">
        <f>IF(A106="","",MAX(0,F105-E106))</f>
        <v/>
      </c>
    </row>
    <row r="107">
      <c r="A107" s="12">
        <f>IF(A106="","",IF(94&gt;$B$6*12,"",94))</f>
        <v/>
      </c>
      <c r="B107" s="13">
        <f>IF(A107="","",DATE(YEAR($B$7),MONTH($B$7)+A107-1,1))</f>
        <v/>
      </c>
      <c r="C107" s="14">
        <f>IF(A107="","",$B$9)</f>
        <v/>
      </c>
      <c r="D107" s="14">
        <f>IF(A107="","",F106*$B$5/12)</f>
        <v/>
      </c>
      <c r="E107" s="14">
        <f>IF(A107="","",C107-D107)</f>
        <v/>
      </c>
      <c r="F107" s="14">
        <f>IF(A107="","",MAX(0,F106-E107))</f>
        <v/>
      </c>
    </row>
    <row r="108">
      <c r="A108" s="12">
        <f>IF(A107="","",IF(95&gt;$B$6*12,"",95))</f>
        <v/>
      </c>
      <c r="B108" s="13">
        <f>IF(A108="","",DATE(YEAR($B$7),MONTH($B$7)+A108-1,1))</f>
        <v/>
      </c>
      <c r="C108" s="14">
        <f>IF(A108="","",$B$9)</f>
        <v/>
      </c>
      <c r="D108" s="14">
        <f>IF(A108="","",F107*$B$5/12)</f>
        <v/>
      </c>
      <c r="E108" s="14">
        <f>IF(A108="","",C108-D108)</f>
        <v/>
      </c>
      <c r="F108" s="14">
        <f>IF(A108="","",MAX(0,F107-E108))</f>
        <v/>
      </c>
    </row>
    <row r="109">
      <c r="A109" s="12">
        <f>IF(A108="","",IF(96&gt;$B$6*12,"",96))</f>
        <v/>
      </c>
      <c r="B109" s="13">
        <f>IF(A109="","",DATE(YEAR($B$7),MONTH($B$7)+A109-1,1))</f>
        <v/>
      </c>
      <c r="C109" s="14">
        <f>IF(A109="","",$B$9)</f>
        <v/>
      </c>
      <c r="D109" s="14">
        <f>IF(A109="","",F108*$B$5/12)</f>
        <v/>
      </c>
      <c r="E109" s="14">
        <f>IF(A109="","",C109-D109)</f>
        <v/>
      </c>
      <c r="F109" s="14">
        <f>IF(A109="","",MAX(0,F108-E109))</f>
        <v/>
      </c>
    </row>
    <row r="110">
      <c r="A110" s="12">
        <f>IF(A109="","",IF(97&gt;$B$6*12,"",97))</f>
        <v/>
      </c>
      <c r="B110" s="13">
        <f>IF(A110="","",DATE(YEAR($B$7),MONTH($B$7)+A110-1,1))</f>
        <v/>
      </c>
      <c r="C110" s="14">
        <f>IF(A110="","",$B$9)</f>
        <v/>
      </c>
      <c r="D110" s="14">
        <f>IF(A110="","",F109*$B$5/12)</f>
        <v/>
      </c>
      <c r="E110" s="14">
        <f>IF(A110="","",C110-D110)</f>
        <v/>
      </c>
      <c r="F110" s="14">
        <f>IF(A110="","",MAX(0,F109-E110))</f>
        <v/>
      </c>
    </row>
    <row r="111">
      <c r="A111" s="12">
        <f>IF(A110="","",IF(98&gt;$B$6*12,"",98))</f>
        <v/>
      </c>
      <c r="B111" s="13">
        <f>IF(A111="","",DATE(YEAR($B$7),MONTH($B$7)+A111-1,1))</f>
        <v/>
      </c>
      <c r="C111" s="14">
        <f>IF(A111="","",$B$9)</f>
        <v/>
      </c>
      <c r="D111" s="14">
        <f>IF(A111="","",F110*$B$5/12)</f>
        <v/>
      </c>
      <c r="E111" s="14">
        <f>IF(A111="","",C111-D111)</f>
        <v/>
      </c>
      <c r="F111" s="14">
        <f>IF(A111="","",MAX(0,F110-E111))</f>
        <v/>
      </c>
    </row>
    <row r="112">
      <c r="A112" s="12">
        <f>IF(A111="","",IF(99&gt;$B$6*12,"",99))</f>
        <v/>
      </c>
      <c r="B112" s="13">
        <f>IF(A112="","",DATE(YEAR($B$7),MONTH($B$7)+A112-1,1))</f>
        <v/>
      </c>
      <c r="C112" s="14">
        <f>IF(A112="","",$B$9)</f>
        <v/>
      </c>
      <c r="D112" s="14">
        <f>IF(A112="","",F111*$B$5/12)</f>
        <v/>
      </c>
      <c r="E112" s="14">
        <f>IF(A112="","",C112-D112)</f>
        <v/>
      </c>
      <c r="F112" s="14">
        <f>IF(A112="","",MAX(0,F111-E112))</f>
        <v/>
      </c>
    </row>
    <row r="113">
      <c r="A113" s="12">
        <f>IF(A112="","",IF(100&gt;$B$6*12,"",100))</f>
        <v/>
      </c>
      <c r="B113" s="13">
        <f>IF(A113="","",DATE(YEAR($B$7),MONTH($B$7)+A113-1,1))</f>
        <v/>
      </c>
      <c r="C113" s="14">
        <f>IF(A113="","",$B$9)</f>
        <v/>
      </c>
      <c r="D113" s="14">
        <f>IF(A113="","",F112*$B$5/12)</f>
        <v/>
      </c>
      <c r="E113" s="14">
        <f>IF(A113="","",C113-D113)</f>
        <v/>
      </c>
      <c r="F113" s="14">
        <f>IF(A113="","",MAX(0,F112-E113))</f>
        <v/>
      </c>
    </row>
    <row r="114">
      <c r="A114" s="12">
        <f>IF(A113="","",IF(101&gt;$B$6*12,"",101))</f>
        <v/>
      </c>
      <c r="B114" s="13">
        <f>IF(A114="","",DATE(YEAR($B$7),MONTH($B$7)+A114-1,1))</f>
        <v/>
      </c>
      <c r="C114" s="14">
        <f>IF(A114="","",$B$9)</f>
        <v/>
      </c>
      <c r="D114" s="14">
        <f>IF(A114="","",F113*$B$5/12)</f>
        <v/>
      </c>
      <c r="E114" s="14">
        <f>IF(A114="","",C114-D114)</f>
        <v/>
      </c>
      <c r="F114" s="14">
        <f>IF(A114="","",MAX(0,F113-E114))</f>
        <v/>
      </c>
    </row>
    <row r="115">
      <c r="A115" s="12">
        <f>IF(A114="","",IF(102&gt;$B$6*12,"",102))</f>
        <v/>
      </c>
      <c r="B115" s="13">
        <f>IF(A115="","",DATE(YEAR($B$7),MONTH($B$7)+A115-1,1))</f>
        <v/>
      </c>
      <c r="C115" s="14">
        <f>IF(A115="","",$B$9)</f>
        <v/>
      </c>
      <c r="D115" s="14">
        <f>IF(A115="","",F114*$B$5/12)</f>
        <v/>
      </c>
      <c r="E115" s="14">
        <f>IF(A115="","",C115-D115)</f>
        <v/>
      </c>
      <c r="F115" s="14">
        <f>IF(A115="","",MAX(0,F114-E115))</f>
        <v/>
      </c>
    </row>
    <row r="116">
      <c r="A116" s="12">
        <f>IF(A115="","",IF(103&gt;$B$6*12,"",103))</f>
        <v/>
      </c>
      <c r="B116" s="13">
        <f>IF(A116="","",DATE(YEAR($B$7),MONTH($B$7)+A116-1,1))</f>
        <v/>
      </c>
      <c r="C116" s="14">
        <f>IF(A116="","",$B$9)</f>
        <v/>
      </c>
      <c r="D116" s="14">
        <f>IF(A116="","",F115*$B$5/12)</f>
        <v/>
      </c>
      <c r="E116" s="14">
        <f>IF(A116="","",C116-D116)</f>
        <v/>
      </c>
      <c r="F116" s="14">
        <f>IF(A116="","",MAX(0,F115-E116))</f>
        <v/>
      </c>
    </row>
    <row r="117">
      <c r="A117" s="12">
        <f>IF(A116="","",IF(104&gt;$B$6*12,"",104))</f>
        <v/>
      </c>
      <c r="B117" s="13">
        <f>IF(A117="","",DATE(YEAR($B$7),MONTH($B$7)+A117-1,1))</f>
        <v/>
      </c>
      <c r="C117" s="14">
        <f>IF(A117="","",$B$9)</f>
        <v/>
      </c>
      <c r="D117" s="14">
        <f>IF(A117="","",F116*$B$5/12)</f>
        <v/>
      </c>
      <c r="E117" s="14">
        <f>IF(A117="","",C117-D117)</f>
        <v/>
      </c>
      <c r="F117" s="14">
        <f>IF(A117="","",MAX(0,F116-E117))</f>
        <v/>
      </c>
    </row>
    <row r="118">
      <c r="A118" s="12">
        <f>IF(A117="","",IF(105&gt;$B$6*12,"",105))</f>
        <v/>
      </c>
      <c r="B118" s="13">
        <f>IF(A118="","",DATE(YEAR($B$7),MONTH($B$7)+A118-1,1))</f>
        <v/>
      </c>
      <c r="C118" s="14">
        <f>IF(A118="","",$B$9)</f>
        <v/>
      </c>
      <c r="D118" s="14">
        <f>IF(A118="","",F117*$B$5/12)</f>
        <v/>
      </c>
      <c r="E118" s="14">
        <f>IF(A118="","",C118-D118)</f>
        <v/>
      </c>
      <c r="F118" s="14">
        <f>IF(A118="","",MAX(0,F117-E118))</f>
        <v/>
      </c>
    </row>
    <row r="119">
      <c r="A119" s="12">
        <f>IF(A118="","",IF(106&gt;$B$6*12,"",106))</f>
        <v/>
      </c>
      <c r="B119" s="13">
        <f>IF(A119="","",DATE(YEAR($B$7),MONTH($B$7)+A119-1,1))</f>
        <v/>
      </c>
      <c r="C119" s="14">
        <f>IF(A119="","",$B$9)</f>
        <v/>
      </c>
      <c r="D119" s="14">
        <f>IF(A119="","",F118*$B$5/12)</f>
        <v/>
      </c>
      <c r="E119" s="14">
        <f>IF(A119="","",C119-D119)</f>
        <v/>
      </c>
      <c r="F119" s="14">
        <f>IF(A119="","",MAX(0,F118-E119))</f>
        <v/>
      </c>
    </row>
    <row r="120">
      <c r="A120" s="12">
        <f>IF(A119="","",IF(107&gt;$B$6*12,"",107))</f>
        <v/>
      </c>
      <c r="B120" s="13">
        <f>IF(A120="","",DATE(YEAR($B$7),MONTH($B$7)+A120-1,1))</f>
        <v/>
      </c>
      <c r="C120" s="14">
        <f>IF(A120="","",$B$9)</f>
        <v/>
      </c>
      <c r="D120" s="14">
        <f>IF(A120="","",F119*$B$5/12)</f>
        <v/>
      </c>
      <c r="E120" s="14">
        <f>IF(A120="","",C120-D120)</f>
        <v/>
      </c>
      <c r="F120" s="14">
        <f>IF(A120="","",MAX(0,F119-E120))</f>
        <v/>
      </c>
    </row>
    <row r="121">
      <c r="A121" s="12">
        <f>IF(A120="","",IF(108&gt;$B$6*12,"",108))</f>
        <v/>
      </c>
      <c r="B121" s="13">
        <f>IF(A121="","",DATE(YEAR($B$7),MONTH($B$7)+A121-1,1))</f>
        <v/>
      </c>
      <c r="C121" s="14">
        <f>IF(A121="","",$B$9)</f>
        <v/>
      </c>
      <c r="D121" s="14">
        <f>IF(A121="","",F120*$B$5/12)</f>
        <v/>
      </c>
      <c r="E121" s="14">
        <f>IF(A121="","",C121-D121)</f>
        <v/>
      </c>
      <c r="F121" s="14">
        <f>IF(A121="","",MAX(0,F120-E121))</f>
        <v/>
      </c>
    </row>
    <row r="122">
      <c r="A122" s="12">
        <f>IF(A121="","",IF(109&gt;$B$6*12,"",109))</f>
        <v/>
      </c>
      <c r="B122" s="13">
        <f>IF(A122="","",DATE(YEAR($B$7),MONTH($B$7)+A122-1,1))</f>
        <v/>
      </c>
      <c r="C122" s="14">
        <f>IF(A122="","",$B$9)</f>
        <v/>
      </c>
      <c r="D122" s="14">
        <f>IF(A122="","",F121*$B$5/12)</f>
        <v/>
      </c>
      <c r="E122" s="14">
        <f>IF(A122="","",C122-D122)</f>
        <v/>
      </c>
      <c r="F122" s="14">
        <f>IF(A122="","",MAX(0,F121-E122))</f>
        <v/>
      </c>
    </row>
    <row r="123">
      <c r="A123" s="12">
        <f>IF(A122="","",IF(110&gt;$B$6*12,"",110))</f>
        <v/>
      </c>
      <c r="B123" s="13">
        <f>IF(A123="","",DATE(YEAR($B$7),MONTH($B$7)+A123-1,1))</f>
        <v/>
      </c>
      <c r="C123" s="14">
        <f>IF(A123="","",$B$9)</f>
        <v/>
      </c>
      <c r="D123" s="14">
        <f>IF(A123="","",F122*$B$5/12)</f>
        <v/>
      </c>
      <c r="E123" s="14">
        <f>IF(A123="","",C123-D123)</f>
        <v/>
      </c>
      <c r="F123" s="14">
        <f>IF(A123="","",MAX(0,F122-E123))</f>
        <v/>
      </c>
    </row>
    <row r="124">
      <c r="A124" s="12">
        <f>IF(A123="","",IF(111&gt;$B$6*12,"",111))</f>
        <v/>
      </c>
      <c r="B124" s="13">
        <f>IF(A124="","",DATE(YEAR($B$7),MONTH($B$7)+A124-1,1))</f>
        <v/>
      </c>
      <c r="C124" s="14">
        <f>IF(A124="","",$B$9)</f>
        <v/>
      </c>
      <c r="D124" s="14">
        <f>IF(A124="","",F123*$B$5/12)</f>
        <v/>
      </c>
      <c r="E124" s="14">
        <f>IF(A124="","",C124-D124)</f>
        <v/>
      </c>
      <c r="F124" s="14">
        <f>IF(A124="","",MAX(0,F123-E124))</f>
        <v/>
      </c>
    </row>
    <row r="125">
      <c r="A125" s="12">
        <f>IF(A124="","",IF(112&gt;$B$6*12,"",112))</f>
        <v/>
      </c>
      <c r="B125" s="13">
        <f>IF(A125="","",DATE(YEAR($B$7),MONTH($B$7)+A125-1,1))</f>
        <v/>
      </c>
      <c r="C125" s="14">
        <f>IF(A125="","",$B$9)</f>
        <v/>
      </c>
      <c r="D125" s="14">
        <f>IF(A125="","",F124*$B$5/12)</f>
        <v/>
      </c>
      <c r="E125" s="14">
        <f>IF(A125="","",C125-D125)</f>
        <v/>
      </c>
      <c r="F125" s="14">
        <f>IF(A125="","",MAX(0,F124-E125))</f>
        <v/>
      </c>
    </row>
    <row r="126">
      <c r="A126" s="12">
        <f>IF(A125="","",IF(113&gt;$B$6*12,"",113))</f>
        <v/>
      </c>
      <c r="B126" s="13">
        <f>IF(A126="","",DATE(YEAR($B$7),MONTH($B$7)+A126-1,1))</f>
        <v/>
      </c>
      <c r="C126" s="14">
        <f>IF(A126="","",$B$9)</f>
        <v/>
      </c>
      <c r="D126" s="14">
        <f>IF(A126="","",F125*$B$5/12)</f>
        <v/>
      </c>
      <c r="E126" s="14">
        <f>IF(A126="","",C126-D126)</f>
        <v/>
      </c>
      <c r="F126" s="14">
        <f>IF(A126="","",MAX(0,F125-E126))</f>
        <v/>
      </c>
    </row>
    <row r="127">
      <c r="A127" s="12">
        <f>IF(A126="","",IF(114&gt;$B$6*12,"",114))</f>
        <v/>
      </c>
      <c r="B127" s="13">
        <f>IF(A127="","",DATE(YEAR($B$7),MONTH($B$7)+A127-1,1))</f>
        <v/>
      </c>
      <c r="C127" s="14">
        <f>IF(A127="","",$B$9)</f>
        <v/>
      </c>
      <c r="D127" s="14">
        <f>IF(A127="","",F126*$B$5/12)</f>
        <v/>
      </c>
      <c r="E127" s="14">
        <f>IF(A127="","",C127-D127)</f>
        <v/>
      </c>
      <c r="F127" s="14">
        <f>IF(A127="","",MAX(0,F126-E127))</f>
        <v/>
      </c>
    </row>
    <row r="128">
      <c r="A128" s="12">
        <f>IF(A127="","",IF(115&gt;$B$6*12,"",115))</f>
        <v/>
      </c>
      <c r="B128" s="13">
        <f>IF(A128="","",DATE(YEAR($B$7),MONTH($B$7)+A128-1,1))</f>
        <v/>
      </c>
      <c r="C128" s="14">
        <f>IF(A128="","",$B$9)</f>
        <v/>
      </c>
      <c r="D128" s="14">
        <f>IF(A128="","",F127*$B$5/12)</f>
        <v/>
      </c>
      <c r="E128" s="14">
        <f>IF(A128="","",C128-D128)</f>
        <v/>
      </c>
      <c r="F128" s="14">
        <f>IF(A128="","",MAX(0,F127-E128))</f>
        <v/>
      </c>
    </row>
    <row r="129">
      <c r="A129" s="12">
        <f>IF(A128="","",IF(116&gt;$B$6*12,"",116))</f>
        <v/>
      </c>
      <c r="B129" s="13">
        <f>IF(A129="","",DATE(YEAR($B$7),MONTH($B$7)+A129-1,1))</f>
        <v/>
      </c>
      <c r="C129" s="14">
        <f>IF(A129="","",$B$9)</f>
        <v/>
      </c>
      <c r="D129" s="14">
        <f>IF(A129="","",F128*$B$5/12)</f>
        <v/>
      </c>
      <c r="E129" s="14">
        <f>IF(A129="","",C129-D129)</f>
        <v/>
      </c>
      <c r="F129" s="14">
        <f>IF(A129="","",MAX(0,F128-E129))</f>
        <v/>
      </c>
    </row>
    <row r="130">
      <c r="A130" s="12">
        <f>IF(A129="","",IF(117&gt;$B$6*12,"",117))</f>
        <v/>
      </c>
      <c r="B130" s="13">
        <f>IF(A130="","",DATE(YEAR($B$7),MONTH($B$7)+A130-1,1))</f>
        <v/>
      </c>
      <c r="C130" s="14">
        <f>IF(A130="","",$B$9)</f>
        <v/>
      </c>
      <c r="D130" s="14">
        <f>IF(A130="","",F129*$B$5/12)</f>
        <v/>
      </c>
      <c r="E130" s="14">
        <f>IF(A130="","",C130-D130)</f>
        <v/>
      </c>
      <c r="F130" s="14">
        <f>IF(A130="","",MAX(0,F129-E130))</f>
        <v/>
      </c>
    </row>
    <row r="131">
      <c r="A131" s="12">
        <f>IF(A130="","",IF(118&gt;$B$6*12,"",118))</f>
        <v/>
      </c>
      <c r="B131" s="13">
        <f>IF(A131="","",DATE(YEAR($B$7),MONTH($B$7)+A131-1,1))</f>
        <v/>
      </c>
      <c r="C131" s="14">
        <f>IF(A131="","",$B$9)</f>
        <v/>
      </c>
      <c r="D131" s="14">
        <f>IF(A131="","",F130*$B$5/12)</f>
        <v/>
      </c>
      <c r="E131" s="14">
        <f>IF(A131="","",C131-D131)</f>
        <v/>
      </c>
      <c r="F131" s="14">
        <f>IF(A131="","",MAX(0,F130-E131))</f>
        <v/>
      </c>
    </row>
    <row r="132">
      <c r="A132" s="12">
        <f>IF(A131="","",IF(119&gt;$B$6*12,"",119))</f>
        <v/>
      </c>
      <c r="B132" s="13">
        <f>IF(A132="","",DATE(YEAR($B$7),MONTH($B$7)+A132-1,1))</f>
        <v/>
      </c>
      <c r="C132" s="14">
        <f>IF(A132="","",$B$9)</f>
        <v/>
      </c>
      <c r="D132" s="14">
        <f>IF(A132="","",F131*$B$5/12)</f>
        <v/>
      </c>
      <c r="E132" s="14">
        <f>IF(A132="","",C132-D132)</f>
        <v/>
      </c>
      <c r="F132" s="14">
        <f>IF(A132="","",MAX(0,F131-E132))</f>
        <v/>
      </c>
    </row>
    <row r="133">
      <c r="A133" s="12">
        <f>IF(A132="","",IF(120&gt;$B$6*12,"",120))</f>
        <v/>
      </c>
      <c r="B133" s="13">
        <f>IF(A133="","",DATE(YEAR($B$7),MONTH($B$7)+A133-1,1))</f>
        <v/>
      </c>
      <c r="C133" s="14">
        <f>IF(A133="","",$B$9)</f>
        <v/>
      </c>
      <c r="D133" s="14">
        <f>IF(A133="","",F132*$B$5/12)</f>
        <v/>
      </c>
      <c r="E133" s="14">
        <f>IF(A133="","",C133-D133)</f>
        <v/>
      </c>
      <c r="F133" s="14">
        <f>IF(A133="","",MAX(0,F132-E133))</f>
        <v/>
      </c>
    </row>
    <row r="134">
      <c r="A134" s="12">
        <f>IF(A133="","",IF(121&gt;$B$6*12,"",121))</f>
        <v/>
      </c>
      <c r="B134" s="13">
        <f>IF(A134="","",DATE(YEAR($B$7),MONTH($B$7)+A134-1,1))</f>
        <v/>
      </c>
      <c r="C134" s="14">
        <f>IF(A134="","",$B$9)</f>
        <v/>
      </c>
      <c r="D134" s="14">
        <f>IF(A134="","",F133*$B$5/12)</f>
        <v/>
      </c>
      <c r="E134" s="14">
        <f>IF(A134="","",C134-D134)</f>
        <v/>
      </c>
      <c r="F134" s="14">
        <f>IF(A134="","",MAX(0,F133-E134))</f>
        <v/>
      </c>
    </row>
    <row r="135">
      <c r="A135" s="12">
        <f>IF(A134="","",IF(122&gt;$B$6*12,"",122))</f>
        <v/>
      </c>
      <c r="B135" s="13">
        <f>IF(A135="","",DATE(YEAR($B$7),MONTH($B$7)+A135-1,1))</f>
        <v/>
      </c>
      <c r="C135" s="14">
        <f>IF(A135="","",$B$9)</f>
        <v/>
      </c>
      <c r="D135" s="14">
        <f>IF(A135="","",F134*$B$5/12)</f>
        <v/>
      </c>
      <c r="E135" s="14">
        <f>IF(A135="","",C135-D135)</f>
        <v/>
      </c>
      <c r="F135" s="14">
        <f>IF(A135="","",MAX(0,F134-E135))</f>
        <v/>
      </c>
    </row>
    <row r="136">
      <c r="A136" s="12">
        <f>IF(A135="","",IF(123&gt;$B$6*12,"",123))</f>
        <v/>
      </c>
      <c r="B136" s="13">
        <f>IF(A136="","",DATE(YEAR($B$7),MONTH($B$7)+A136-1,1))</f>
        <v/>
      </c>
      <c r="C136" s="14">
        <f>IF(A136="","",$B$9)</f>
        <v/>
      </c>
      <c r="D136" s="14">
        <f>IF(A136="","",F135*$B$5/12)</f>
        <v/>
      </c>
      <c r="E136" s="14">
        <f>IF(A136="","",C136-D136)</f>
        <v/>
      </c>
      <c r="F136" s="14">
        <f>IF(A136="","",MAX(0,F135-E136))</f>
        <v/>
      </c>
    </row>
    <row r="137">
      <c r="A137" s="12">
        <f>IF(A136="","",IF(124&gt;$B$6*12,"",124))</f>
        <v/>
      </c>
      <c r="B137" s="13">
        <f>IF(A137="","",DATE(YEAR($B$7),MONTH($B$7)+A137-1,1))</f>
        <v/>
      </c>
      <c r="C137" s="14">
        <f>IF(A137="","",$B$9)</f>
        <v/>
      </c>
      <c r="D137" s="14">
        <f>IF(A137="","",F136*$B$5/12)</f>
        <v/>
      </c>
      <c r="E137" s="14">
        <f>IF(A137="","",C137-D137)</f>
        <v/>
      </c>
      <c r="F137" s="14">
        <f>IF(A137="","",MAX(0,F136-E137))</f>
        <v/>
      </c>
    </row>
    <row r="138">
      <c r="A138" s="12">
        <f>IF(A137="","",IF(125&gt;$B$6*12,"",125))</f>
        <v/>
      </c>
      <c r="B138" s="13">
        <f>IF(A138="","",DATE(YEAR($B$7),MONTH($B$7)+A138-1,1))</f>
        <v/>
      </c>
      <c r="C138" s="14">
        <f>IF(A138="","",$B$9)</f>
        <v/>
      </c>
      <c r="D138" s="14">
        <f>IF(A138="","",F137*$B$5/12)</f>
        <v/>
      </c>
      <c r="E138" s="14">
        <f>IF(A138="","",C138-D138)</f>
        <v/>
      </c>
      <c r="F138" s="14">
        <f>IF(A138="","",MAX(0,F137-E138))</f>
        <v/>
      </c>
    </row>
    <row r="139">
      <c r="A139" s="12">
        <f>IF(A138="","",IF(126&gt;$B$6*12,"",126))</f>
        <v/>
      </c>
      <c r="B139" s="13">
        <f>IF(A139="","",DATE(YEAR($B$7),MONTH($B$7)+A139-1,1))</f>
        <v/>
      </c>
      <c r="C139" s="14">
        <f>IF(A139="","",$B$9)</f>
        <v/>
      </c>
      <c r="D139" s="14">
        <f>IF(A139="","",F138*$B$5/12)</f>
        <v/>
      </c>
      <c r="E139" s="14">
        <f>IF(A139="","",C139-D139)</f>
        <v/>
      </c>
      <c r="F139" s="14">
        <f>IF(A139="","",MAX(0,F138-E139))</f>
        <v/>
      </c>
    </row>
    <row r="140">
      <c r="A140" s="12">
        <f>IF(A139="","",IF(127&gt;$B$6*12,"",127))</f>
        <v/>
      </c>
      <c r="B140" s="13">
        <f>IF(A140="","",DATE(YEAR($B$7),MONTH($B$7)+A140-1,1))</f>
        <v/>
      </c>
      <c r="C140" s="14">
        <f>IF(A140="","",$B$9)</f>
        <v/>
      </c>
      <c r="D140" s="14">
        <f>IF(A140="","",F139*$B$5/12)</f>
        <v/>
      </c>
      <c r="E140" s="14">
        <f>IF(A140="","",C140-D140)</f>
        <v/>
      </c>
      <c r="F140" s="14">
        <f>IF(A140="","",MAX(0,F139-E140))</f>
        <v/>
      </c>
    </row>
    <row r="141">
      <c r="A141" s="12">
        <f>IF(A140="","",IF(128&gt;$B$6*12,"",128))</f>
        <v/>
      </c>
      <c r="B141" s="13">
        <f>IF(A141="","",DATE(YEAR($B$7),MONTH($B$7)+A141-1,1))</f>
        <v/>
      </c>
      <c r="C141" s="14">
        <f>IF(A141="","",$B$9)</f>
        <v/>
      </c>
      <c r="D141" s="14">
        <f>IF(A141="","",F140*$B$5/12)</f>
        <v/>
      </c>
      <c r="E141" s="14">
        <f>IF(A141="","",C141-D141)</f>
        <v/>
      </c>
      <c r="F141" s="14">
        <f>IF(A141="","",MAX(0,F140-E141))</f>
        <v/>
      </c>
    </row>
    <row r="142">
      <c r="A142" s="12">
        <f>IF(A141="","",IF(129&gt;$B$6*12,"",129))</f>
        <v/>
      </c>
      <c r="B142" s="13">
        <f>IF(A142="","",DATE(YEAR($B$7),MONTH($B$7)+A142-1,1))</f>
        <v/>
      </c>
      <c r="C142" s="14">
        <f>IF(A142="","",$B$9)</f>
        <v/>
      </c>
      <c r="D142" s="14">
        <f>IF(A142="","",F141*$B$5/12)</f>
        <v/>
      </c>
      <c r="E142" s="14">
        <f>IF(A142="","",C142-D142)</f>
        <v/>
      </c>
      <c r="F142" s="14">
        <f>IF(A142="","",MAX(0,F141-E142))</f>
        <v/>
      </c>
    </row>
    <row r="143">
      <c r="A143" s="12">
        <f>IF(A142="","",IF(130&gt;$B$6*12,"",130))</f>
        <v/>
      </c>
      <c r="B143" s="13">
        <f>IF(A143="","",DATE(YEAR($B$7),MONTH($B$7)+A143-1,1))</f>
        <v/>
      </c>
      <c r="C143" s="14">
        <f>IF(A143="","",$B$9)</f>
        <v/>
      </c>
      <c r="D143" s="14">
        <f>IF(A143="","",F142*$B$5/12)</f>
        <v/>
      </c>
      <c r="E143" s="14">
        <f>IF(A143="","",C143-D143)</f>
        <v/>
      </c>
      <c r="F143" s="14">
        <f>IF(A143="","",MAX(0,F142-E143))</f>
        <v/>
      </c>
    </row>
    <row r="144">
      <c r="A144" s="12">
        <f>IF(A143="","",IF(131&gt;$B$6*12,"",131))</f>
        <v/>
      </c>
      <c r="B144" s="13">
        <f>IF(A144="","",DATE(YEAR($B$7),MONTH($B$7)+A144-1,1))</f>
        <v/>
      </c>
      <c r="C144" s="14">
        <f>IF(A144="","",$B$9)</f>
        <v/>
      </c>
      <c r="D144" s="14">
        <f>IF(A144="","",F143*$B$5/12)</f>
        <v/>
      </c>
      <c r="E144" s="14">
        <f>IF(A144="","",C144-D144)</f>
        <v/>
      </c>
      <c r="F144" s="14">
        <f>IF(A144="","",MAX(0,F143-E144))</f>
        <v/>
      </c>
    </row>
    <row r="145">
      <c r="A145" s="12">
        <f>IF(A144="","",IF(132&gt;$B$6*12,"",132))</f>
        <v/>
      </c>
      <c r="B145" s="13">
        <f>IF(A145="","",DATE(YEAR($B$7),MONTH($B$7)+A145-1,1))</f>
        <v/>
      </c>
      <c r="C145" s="14">
        <f>IF(A145="","",$B$9)</f>
        <v/>
      </c>
      <c r="D145" s="14">
        <f>IF(A145="","",F144*$B$5/12)</f>
        <v/>
      </c>
      <c r="E145" s="14">
        <f>IF(A145="","",C145-D145)</f>
        <v/>
      </c>
      <c r="F145" s="14">
        <f>IF(A145="","",MAX(0,F144-E145))</f>
        <v/>
      </c>
    </row>
    <row r="146">
      <c r="A146" s="12">
        <f>IF(A145="","",IF(133&gt;$B$6*12,"",133))</f>
        <v/>
      </c>
      <c r="B146" s="13">
        <f>IF(A146="","",DATE(YEAR($B$7),MONTH($B$7)+A146-1,1))</f>
        <v/>
      </c>
      <c r="C146" s="14">
        <f>IF(A146="","",$B$9)</f>
        <v/>
      </c>
      <c r="D146" s="14">
        <f>IF(A146="","",F145*$B$5/12)</f>
        <v/>
      </c>
      <c r="E146" s="14">
        <f>IF(A146="","",C146-D146)</f>
        <v/>
      </c>
      <c r="F146" s="14">
        <f>IF(A146="","",MAX(0,F145-E146))</f>
        <v/>
      </c>
    </row>
    <row r="147">
      <c r="A147" s="12">
        <f>IF(A146="","",IF(134&gt;$B$6*12,"",134))</f>
        <v/>
      </c>
      <c r="B147" s="13">
        <f>IF(A147="","",DATE(YEAR($B$7),MONTH($B$7)+A147-1,1))</f>
        <v/>
      </c>
      <c r="C147" s="14">
        <f>IF(A147="","",$B$9)</f>
        <v/>
      </c>
      <c r="D147" s="14">
        <f>IF(A147="","",F146*$B$5/12)</f>
        <v/>
      </c>
      <c r="E147" s="14">
        <f>IF(A147="","",C147-D147)</f>
        <v/>
      </c>
      <c r="F147" s="14">
        <f>IF(A147="","",MAX(0,F146-E147))</f>
        <v/>
      </c>
    </row>
    <row r="148">
      <c r="A148" s="12">
        <f>IF(A147="","",IF(135&gt;$B$6*12,"",135))</f>
        <v/>
      </c>
      <c r="B148" s="13">
        <f>IF(A148="","",DATE(YEAR($B$7),MONTH($B$7)+A148-1,1))</f>
        <v/>
      </c>
      <c r="C148" s="14">
        <f>IF(A148="","",$B$9)</f>
        <v/>
      </c>
      <c r="D148" s="14">
        <f>IF(A148="","",F147*$B$5/12)</f>
        <v/>
      </c>
      <c r="E148" s="14">
        <f>IF(A148="","",C148-D148)</f>
        <v/>
      </c>
      <c r="F148" s="14">
        <f>IF(A148="","",MAX(0,F147-E148))</f>
        <v/>
      </c>
    </row>
    <row r="149">
      <c r="A149" s="12">
        <f>IF(A148="","",IF(136&gt;$B$6*12,"",136))</f>
        <v/>
      </c>
      <c r="B149" s="13">
        <f>IF(A149="","",DATE(YEAR($B$7),MONTH($B$7)+A149-1,1))</f>
        <v/>
      </c>
      <c r="C149" s="14">
        <f>IF(A149="","",$B$9)</f>
        <v/>
      </c>
      <c r="D149" s="14">
        <f>IF(A149="","",F148*$B$5/12)</f>
        <v/>
      </c>
      <c r="E149" s="14">
        <f>IF(A149="","",C149-D149)</f>
        <v/>
      </c>
      <c r="F149" s="14">
        <f>IF(A149="","",MAX(0,F148-E149))</f>
        <v/>
      </c>
    </row>
    <row r="150">
      <c r="A150" s="12">
        <f>IF(A149="","",IF(137&gt;$B$6*12,"",137))</f>
        <v/>
      </c>
      <c r="B150" s="13">
        <f>IF(A150="","",DATE(YEAR($B$7),MONTH($B$7)+A150-1,1))</f>
        <v/>
      </c>
      <c r="C150" s="14">
        <f>IF(A150="","",$B$9)</f>
        <v/>
      </c>
      <c r="D150" s="14">
        <f>IF(A150="","",F149*$B$5/12)</f>
        <v/>
      </c>
      <c r="E150" s="14">
        <f>IF(A150="","",C150-D150)</f>
        <v/>
      </c>
      <c r="F150" s="14">
        <f>IF(A150="","",MAX(0,F149-E150))</f>
        <v/>
      </c>
    </row>
    <row r="151">
      <c r="A151" s="12">
        <f>IF(A150="","",IF(138&gt;$B$6*12,"",138))</f>
        <v/>
      </c>
      <c r="B151" s="13">
        <f>IF(A151="","",DATE(YEAR($B$7),MONTH($B$7)+A151-1,1))</f>
        <v/>
      </c>
      <c r="C151" s="14">
        <f>IF(A151="","",$B$9)</f>
        <v/>
      </c>
      <c r="D151" s="14">
        <f>IF(A151="","",F150*$B$5/12)</f>
        <v/>
      </c>
      <c r="E151" s="14">
        <f>IF(A151="","",C151-D151)</f>
        <v/>
      </c>
      <c r="F151" s="14">
        <f>IF(A151="","",MAX(0,F150-E151))</f>
        <v/>
      </c>
    </row>
    <row r="152">
      <c r="A152" s="12">
        <f>IF(A151="","",IF(139&gt;$B$6*12,"",139))</f>
        <v/>
      </c>
      <c r="B152" s="13">
        <f>IF(A152="","",DATE(YEAR($B$7),MONTH($B$7)+A152-1,1))</f>
        <v/>
      </c>
      <c r="C152" s="14">
        <f>IF(A152="","",$B$9)</f>
        <v/>
      </c>
      <c r="D152" s="14">
        <f>IF(A152="","",F151*$B$5/12)</f>
        <v/>
      </c>
      <c r="E152" s="14">
        <f>IF(A152="","",C152-D152)</f>
        <v/>
      </c>
      <c r="F152" s="14">
        <f>IF(A152="","",MAX(0,F151-E152))</f>
        <v/>
      </c>
    </row>
    <row r="153">
      <c r="A153" s="12">
        <f>IF(A152="","",IF(140&gt;$B$6*12,"",140))</f>
        <v/>
      </c>
      <c r="B153" s="13">
        <f>IF(A153="","",DATE(YEAR($B$7),MONTH($B$7)+A153-1,1))</f>
        <v/>
      </c>
      <c r="C153" s="14">
        <f>IF(A153="","",$B$9)</f>
        <v/>
      </c>
      <c r="D153" s="14">
        <f>IF(A153="","",F152*$B$5/12)</f>
        <v/>
      </c>
      <c r="E153" s="14">
        <f>IF(A153="","",C153-D153)</f>
        <v/>
      </c>
      <c r="F153" s="14">
        <f>IF(A153="","",MAX(0,F152-E153))</f>
        <v/>
      </c>
    </row>
    <row r="154">
      <c r="A154" s="12">
        <f>IF(A153="","",IF(141&gt;$B$6*12,"",141))</f>
        <v/>
      </c>
      <c r="B154" s="13">
        <f>IF(A154="","",DATE(YEAR($B$7),MONTH($B$7)+A154-1,1))</f>
        <v/>
      </c>
      <c r="C154" s="14">
        <f>IF(A154="","",$B$9)</f>
        <v/>
      </c>
      <c r="D154" s="14">
        <f>IF(A154="","",F153*$B$5/12)</f>
        <v/>
      </c>
      <c r="E154" s="14">
        <f>IF(A154="","",C154-D154)</f>
        <v/>
      </c>
      <c r="F154" s="14">
        <f>IF(A154="","",MAX(0,F153-E154))</f>
        <v/>
      </c>
    </row>
    <row r="155">
      <c r="A155" s="12">
        <f>IF(A154="","",IF(142&gt;$B$6*12,"",142))</f>
        <v/>
      </c>
      <c r="B155" s="13">
        <f>IF(A155="","",DATE(YEAR($B$7),MONTH($B$7)+A155-1,1))</f>
        <v/>
      </c>
      <c r="C155" s="14">
        <f>IF(A155="","",$B$9)</f>
        <v/>
      </c>
      <c r="D155" s="14">
        <f>IF(A155="","",F154*$B$5/12)</f>
        <v/>
      </c>
      <c r="E155" s="14">
        <f>IF(A155="","",C155-D155)</f>
        <v/>
      </c>
      <c r="F155" s="14">
        <f>IF(A155="","",MAX(0,F154-E155))</f>
        <v/>
      </c>
    </row>
    <row r="156">
      <c r="A156" s="12">
        <f>IF(A155="","",IF(143&gt;$B$6*12,"",143))</f>
        <v/>
      </c>
      <c r="B156" s="13">
        <f>IF(A156="","",DATE(YEAR($B$7),MONTH($B$7)+A156-1,1))</f>
        <v/>
      </c>
      <c r="C156" s="14">
        <f>IF(A156="","",$B$9)</f>
        <v/>
      </c>
      <c r="D156" s="14">
        <f>IF(A156="","",F155*$B$5/12)</f>
        <v/>
      </c>
      <c r="E156" s="14">
        <f>IF(A156="","",C156-D156)</f>
        <v/>
      </c>
      <c r="F156" s="14">
        <f>IF(A156="","",MAX(0,F155-E156))</f>
        <v/>
      </c>
    </row>
    <row r="157">
      <c r="A157" s="12">
        <f>IF(A156="","",IF(144&gt;$B$6*12,"",144))</f>
        <v/>
      </c>
      <c r="B157" s="13">
        <f>IF(A157="","",DATE(YEAR($B$7),MONTH($B$7)+A157-1,1))</f>
        <v/>
      </c>
      <c r="C157" s="14">
        <f>IF(A157="","",$B$9)</f>
        <v/>
      </c>
      <c r="D157" s="14">
        <f>IF(A157="","",F156*$B$5/12)</f>
        <v/>
      </c>
      <c r="E157" s="14">
        <f>IF(A157="","",C157-D157)</f>
        <v/>
      </c>
      <c r="F157" s="14">
        <f>IF(A157="","",MAX(0,F156-E157))</f>
        <v/>
      </c>
    </row>
    <row r="158">
      <c r="A158" s="12">
        <f>IF(A157="","",IF(145&gt;$B$6*12,"",145))</f>
        <v/>
      </c>
      <c r="B158" s="13">
        <f>IF(A158="","",DATE(YEAR($B$7),MONTH($B$7)+A158-1,1))</f>
        <v/>
      </c>
      <c r="C158" s="14">
        <f>IF(A158="","",$B$9)</f>
        <v/>
      </c>
      <c r="D158" s="14">
        <f>IF(A158="","",F157*$B$5/12)</f>
        <v/>
      </c>
      <c r="E158" s="14">
        <f>IF(A158="","",C158-D158)</f>
        <v/>
      </c>
      <c r="F158" s="14">
        <f>IF(A158="","",MAX(0,F157-E158))</f>
        <v/>
      </c>
    </row>
    <row r="159">
      <c r="A159" s="12">
        <f>IF(A158="","",IF(146&gt;$B$6*12,"",146))</f>
        <v/>
      </c>
      <c r="B159" s="13">
        <f>IF(A159="","",DATE(YEAR($B$7),MONTH($B$7)+A159-1,1))</f>
        <v/>
      </c>
      <c r="C159" s="14">
        <f>IF(A159="","",$B$9)</f>
        <v/>
      </c>
      <c r="D159" s="14">
        <f>IF(A159="","",F158*$B$5/12)</f>
        <v/>
      </c>
      <c r="E159" s="14">
        <f>IF(A159="","",C159-D159)</f>
        <v/>
      </c>
      <c r="F159" s="14">
        <f>IF(A159="","",MAX(0,F158-E159))</f>
        <v/>
      </c>
    </row>
    <row r="160">
      <c r="A160" s="12">
        <f>IF(A159="","",IF(147&gt;$B$6*12,"",147))</f>
        <v/>
      </c>
      <c r="B160" s="13">
        <f>IF(A160="","",DATE(YEAR($B$7),MONTH($B$7)+A160-1,1))</f>
        <v/>
      </c>
      <c r="C160" s="14">
        <f>IF(A160="","",$B$9)</f>
        <v/>
      </c>
      <c r="D160" s="14">
        <f>IF(A160="","",F159*$B$5/12)</f>
        <v/>
      </c>
      <c r="E160" s="14">
        <f>IF(A160="","",C160-D160)</f>
        <v/>
      </c>
      <c r="F160" s="14">
        <f>IF(A160="","",MAX(0,F159-E160))</f>
        <v/>
      </c>
    </row>
    <row r="161">
      <c r="A161" s="12">
        <f>IF(A160="","",IF(148&gt;$B$6*12,"",148))</f>
        <v/>
      </c>
      <c r="B161" s="13">
        <f>IF(A161="","",DATE(YEAR($B$7),MONTH($B$7)+A161-1,1))</f>
        <v/>
      </c>
      <c r="C161" s="14">
        <f>IF(A161="","",$B$9)</f>
        <v/>
      </c>
      <c r="D161" s="14">
        <f>IF(A161="","",F160*$B$5/12)</f>
        <v/>
      </c>
      <c r="E161" s="14">
        <f>IF(A161="","",C161-D161)</f>
        <v/>
      </c>
      <c r="F161" s="14">
        <f>IF(A161="","",MAX(0,F160-E161))</f>
        <v/>
      </c>
    </row>
    <row r="162">
      <c r="A162" s="12">
        <f>IF(A161="","",IF(149&gt;$B$6*12,"",149))</f>
        <v/>
      </c>
      <c r="B162" s="13">
        <f>IF(A162="","",DATE(YEAR($B$7),MONTH($B$7)+A162-1,1))</f>
        <v/>
      </c>
      <c r="C162" s="14">
        <f>IF(A162="","",$B$9)</f>
        <v/>
      </c>
      <c r="D162" s="14">
        <f>IF(A162="","",F161*$B$5/12)</f>
        <v/>
      </c>
      <c r="E162" s="14">
        <f>IF(A162="","",C162-D162)</f>
        <v/>
      </c>
      <c r="F162" s="14">
        <f>IF(A162="","",MAX(0,F161-E162))</f>
        <v/>
      </c>
    </row>
    <row r="163">
      <c r="A163" s="12">
        <f>IF(A162="","",IF(150&gt;$B$6*12,"",150))</f>
        <v/>
      </c>
      <c r="B163" s="13">
        <f>IF(A163="","",DATE(YEAR($B$7),MONTH($B$7)+A163-1,1))</f>
        <v/>
      </c>
      <c r="C163" s="14">
        <f>IF(A163="","",$B$9)</f>
        <v/>
      </c>
      <c r="D163" s="14">
        <f>IF(A163="","",F162*$B$5/12)</f>
        <v/>
      </c>
      <c r="E163" s="14">
        <f>IF(A163="","",C163-D163)</f>
        <v/>
      </c>
      <c r="F163" s="14">
        <f>IF(A163="","",MAX(0,F162-E163))</f>
        <v/>
      </c>
    </row>
    <row r="164">
      <c r="A164" s="12">
        <f>IF(A163="","",IF(151&gt;$B$6*12,"",151))</f>
        <v/>
      </c>
      <c r="B164" s="13">
        <f>IF(A164="","",DATE(YEAR($B$7),MONTH($B$7)+A164-1,1))</f>
        <v/>
      </c>
      <c r="C164" s="14">
        <f>IF(A164="","",$B$9)</f>
        <v/>
      </c>
      <c r="D164" s="14">
        <f>IF(A164="","",F163*$B$5/12)</f>
        <v/>
      </c>
      <c r="E164" s="14">
        <f>IF(A164="","",C164-D164)</f>
        <v/>
      </c>
      <c r="F164" s="14">
        <f>IF(A164="","",MAX(0,F163-E164))</f>
        <v/>
      </c>
    </row>
    <row r="165">
      <c r="A165" s="12">
        <f>IF(A164="","",IF(152&gt;$B$6*12,"",152))</f>
        <v/>
      </c>
      <c r="B165" s="13">
        <f>IF(A165="","",DATE(YEAR($B$7),MONTH($B$7)+A165-1,1))</f>
        <v/>
      </c>
      <c r="C165" s="14">
        <f>IF(A165="","",$B$9)</f>
        <v/>
      </c>
      <c r="D165" s="14">
        <f>IF(A165="","",F164*$B$5/12)</f>
        <v/>
      </c>
      <c r="E165" s="14">
        <f>IF(A165="","",C165-D165)</f>
        <v/>
      </c>
      <c r="F165" s="14">
        <f>IF(A165="","",MAX(0,F164-E165))</f>
        <v/>
      </c>
    </row>
    <row r="166">
      <c r="A166" s="12">
        <f>IF(A165="","",IF(153&gt;$B$6*12,"",153))</f>
        <v/>
      </c>
      <c r="B166" s="13">
        <f>IF(A166="","",DATE(YEAR($B$7),MONTH($B$7)+A166-1,1))</f>
        <v/>
      </c>
      <c r="C166" s="14">
        <f>IF(A166="","",$B$9)</f>
        <v/>
      </c>
      <c r="D166" s="14">
        <f>IF(A166="","",F165*$B$5/12)</f>
        <v/>
      </c>
      <c r="E166" s="14">
        <f>IF(A166="","",C166-D166)</f>
        <v/>
      </c>
      <c r="F166" s="14">
        <f>IF(A166="","",MAX(0,F165-E166))</f>
        <v/>
      </c>
    </row>
    <row r="167">
      <c r="A167" s="12">
        <f>IF(A166="","",IF(154&gt;$B$6*12,"",154))</f>
        <v/>
      </c>
      <c r="B167" s="13">
        <f>IF(A167="","",DATE(YEAR($B$7),MONTH($B$7)+A167-1,1))</f>
        <v/>
      </c>
      <c r="C167" s="14">
        <f>IF(A167="","",$B$9)</f>
        <v/>
      </c>
      <c r="D167" s="14">
        <f>IF(A167="","",F166*$B$5/12)</f>
        <v/>
      </c>
      <c r="E167" s="14">
        <f>IF(A167="","",C167-D167)</f>
        <v/>
      </c>
      <c r="F167" s="14">
        <f>IF(A167="","",MAX(0,F166-E167))</f>
        <v/>
      </c>
    </row>
    <row r="168">
      <c r="A168" s="12">
        <f>IF(A167="","",IF(155&gt;$B$6*12,"",155))</f>
        <v/>
      </c>
      <c r="B168" s="13">
        <f>IF(A168="","",DATE(YEAR($B$7),MONTH($B$7)+A168-1,1))</f>
        <v/>
      </c>
      <c r="C168" s="14">
        <f>IF(A168="","",$B$9)</f>
        <v/>
      </c>
      <c r="D168" s="14">
        <f>IF(A168="","",F167*$B$5/12)</f>
        <v/>
      </c>
      <c r="E168" s="14">
        <f>IF(A168="","",C168-D168)</f>
        <v/>
      </c>
      <c r="F168" s="14">
        <f>IF(A168="","",MAX(0,F167-E168))</f>
        <v/>
      </c>
    </row>
    <row r="169">
      <c r="A169" s="12">
        <f>IF(A168="","",IF(156&gt;$B$6*12,"",156))</f>
        <v/>
      </c>
      <c r="B169" s="13">
        <f>IF(A169="","",DATE(YEAR($B$7),MONTH($B$7)+A169-1,1))</f>
        <v/>
      </c>
      <c r="C169" s="14">
        <f>IF(A169="","",$B$9)</f>
        <v/>
      </c>
      <c r="D169" s="14">
        <f>IF(A169="","",F168*$B$5/12)</f>
        <v/>
      </c>
      <c r="E169" s="14">
        <f>IF(A169="","",C169-D169)</f>
        <v/>
      </c>
      <c r="F169" s="14">
        <f>IF(A169="","",MAX(0,F168-E169))</f>
        <v/>
      </c>
    </row>
    <row r="170">
      <c r="A170" s="12">
        <f>IF(A169="","",IF(157&gt;$B$6*12,"",157))</f>
        <v/>
      </c>
      <c r="B170" s="13">
        <f>IF(A170="","",DATE(YEAR($B$7),MONTH($B$7)+A170-1,1))</f>
        <v/>
      </c>
      <c r="C170" s="14">
        <f>IF(A170="","",$B$9)</f>
        <v/>
      </c>
      <c r="D170" s="14">
        <f>IF(A170="","",F169*$B$5/12)</f>
        <v/>
      </c>
      <c r="E170" s="14">
        <f>IF(A170="","",C170-D170)</f>
        <v/>
      </c>
      <c r="F170" s="14">
        <f>IF(A170="","",MAX(0,F169-E170))</f>
        <v/>
      </c>
    </row>
    <row r="171">
      <c r="A171" s="12">
        <f>IF(A170="","",IF(158&gt;$B$6*12,"",158))</f>
        <v/>
      </c>
      <c r="B171" s="13">
        <f>IF(A171="","",DATE(YEAR($B$7),MONTH($B$7)+A171-1,1))</f>
        <v/>
      </c>
      <c r="C171" s="14">
        <f>IF(A171="","",$B$9)</f>
        <v/>
      </c>
      <c r="D171" s="14">
        <f>IF(A171="","",F170*$B$5/12)</f>
        <v/>
      </c>
      <c r="E171" s="14">
        <f>IF(A171="","",C171-D171)</f>
        <v/>
      </c>
      <c r="F171" s="14">
        <f>IF(A171="","",MAX(0,F170-E171))</f>
        <v/>
      </c>
    </row>
    <row r="172">
      <c r="A172" s="12">
        <f>IF(A171="","",IF(159&gt;$B$6*12,"",159))</f>
        <v/>
      </c>
      <c r="B172" s="13">
        <f>IF(A172="","",DATE(YEAR($B$7),MONTH($B$7)+A172-1,1))</f>
        <v/>
      </c>
      <c r="C172" s="14">
        <f>IF(A172="","",$B$9)</f>
        <v/>
      </c>
      <c r="D172" s="14">
        <f>IF(A172="","",F171*$B$5/12)</f>
        <v/>
      </c>
      <c r="E172" s="14">
        <f>IF(A172="","",C172-D172)</f>
        <v/>
      </c>
      <c r="F172" s="14">
        <f>IF(A172="","",MAX(0,F171-E172))</f>
        <v/>
      </c>
    </row>
    <row r="173">
      <c r="A173" s="12">
        <f>IF(A172="","",IF(160&gt;$B$6*12,"",160))</f>
        <v/>
      </c>
      <c r="B173" s="13">
        <f>IF(A173="","",DATE(YEAR($B$7),MONTH($B$7)+A173-1,1))</f>
        <v/>
      </c>
      <c r="C173" s="14">
        <f>IF(A173="","",$B$9)</f>
        <v/>
      </c>
      <c r="D173" s="14">
        <f>IF(A173="","",F172*$B$5/12)</f>
        <v/>
      </c>
      <c r="E173" s="14">
        <f>IF(A173="","",C173-D173)</f>
        <v/>
      </c>
      <c r="F173" s="14">
        <f>IF(A173="","",MAX(0,F172-E173))</f>
        <v/>
      </c>
    </row>
    <row r="174">
      <c r="A174" s="12">
        <f>IF(A173="","",IF(161&gt;$B$6*12,"",161))</f>
        <v/>
      </c>
      <c r="B174" s="13">
        <f>IF(A174="","",DATE(YEAR($B$7),MONTH($B$7)+A174-1,1))</f>
        <v/>
      </c>
      <c r="C174" s="14">
        <f>IF(A174="","",$B$9)</f>
        <v/>
      </c>
      <c r="D174" s="14">
        <f>IF(A174="","",F173*$B$5/12)</f>
        <v/>
      </c>
      <c r="E174" s="14">
        <f>IF(A174="","",C174-D174)</f>
        <v/>
      </c>
      <c r="F174" s="14">
        <f>IF(A174="","",MAX(0,F173-E174))</f>
        <v/>
      </c>
    </row>
    <row r="175">
      <c r="A175" s="12">
        <f>IF(A174="","",IF(162&gt;$B$6*12,"",162))</f>
        <v/>
      </c>
      <c r="B175" s="13">
        <f>IF(A175="","",DATE(YEAR($B$7),MONTH($B$7)+A175-1,1))</f>
        <v/>
      </c>
      <c r="C175" s="14">
        <f>IF(A175="","",$B$9)</f>
        <v/>
      </c>
      <c r="D175" s="14">
        <f>IF(A175="","",F174*$B$5/12)</f>
        <v/>
      </c>
      <c r="E175" s="14">
        <f>IF(A175="","",C175-D175)</f>
        <v/>
      </c>
      <c r="F175" s="14">
        <f>IF(A175="","",MAX(0,F174-E175))</f>
        <v/>
      </c>
    </row>
    <row r="176">
      <c r="A176" s="12">
        <f>IF(A175="","",IF(163&gt;$B$6*12,"",163))</f>
        <v/>
      </c>
      <c r="B176" s="13">
        <f>IF(A176="","",DATE(YEAR($B$7),MONTH($B$7)+A176-1,1))</f>
        <v/>
      </c>
      <c r="C176" s="14">
        <f>IF(A176="","",$B$9)</f>
        <v/>
      </c>
      <c r="D176" s="14">
        <f>IF(A176="","",F175*$B$5/12)</f>
        <v/>
      </c>
      <c r="E176" s="14">
        <f>IF(A176="","",C176-D176)</f>
        <v/>
      </c>
      <c r="F176" s="14">
        <f>IF(A176="","",MAX(0,F175-E176))</f>
        <v/>
      </c>
    </row>
    <row r="177">
      <c r="A177" s="12">
        <f>IF(A176="","",IF(164&gt;$B$6*12,"",164))</f>
        <v/>
      </c>
      <c r="B177" s="13">
        <f>IF(A177="","",DATE(YEAR($B$7),MONTH($B$7)+A177-1,1))</f>
        <v/>
      </c>
      <c r="C177" s="14">
        <f>IF(A177="","",$B$9)</f>
        <v/>
      </c>
      <c r="D177" s="14">
        <f>IF(A177="","",F176*$B$5/12)</f>
        <v/>
      </c>
      <c r="E177" s="14">
        <f>IF(A177="","",C177-D177)</f>
        <v/>
      </c>
      <c r="F177" s="14">
        <f>IF(A177="","",MAX(0,F176-E177))</f>
        <v/>
      </c>
    </row>
    <row r="178">
      <c r="A178" s="12">
        <f>IF(A177="","",IF(165&gt;$B$6*12,"",165))</f>
        <v/>
      </c>
      <c r="B178" s="13">
        <f>IF(A178="","",DATE(YEAR($B$7),MONTH($B$7)+A178-1,1))</f>
        <v/>
      </c>
      <c r="C178" s="14">
        <f>IF(A178="","",$B$9)</f>
        <v/>
      </c>
      <c r="D178" s="14">
        <f>IF(A178="","",F177*$B$5/12)</f>
        <v/>
      </c>
      <c r="E178" s="14">
        <f>IF(A178="","",C178-D178)</f>
        <v/>
      </c>
      <c r="F178" s="14">
        <f>IF(A178="","",MAX(0,F177-E178))</f>
        <v/>
      </c>
    </row>
    <row r="179">
      <c r="A179" s="12">
        <f>IF(A178="","",IF(166&gt;$B$6*12,"",166))</f>
        <v/>
      </c>
      <c r="B179" s="13">
        <f>IF(A179="","",DATE(YEAR($B$7),MONTH($B$7)+A179-1,1))</f>
        <v/>
      </c>
      <c r="C179" s="14">
        <f>IF(A179="","",$B$9)</f>
        <v/>
      </c>
      <c r="D179" s="14">
        <f>IF(A179="","",F178*$B$5/12)</f>
        <v/>
      </c>
      <c r="E179" s="14">
        <f>IF(A179="","",C179-D179)</f>
        <v/>
      </c>
      <c r="F179" s="14">
        <f>IF(A179="","",MAX(0,F178-E179))</f>
        <v/>
      </c>
    </row>
    <row r="180">
      <c r="A180" s="12">
        <f>IF(A179="","",IF(167&gt;$B$6*12,"",167))</f>
        <v/>
      </c>
      <c r="B180" s="13">
        <f>IF(A180="","",DATE(YEAR($B$7),MONTH($B$7)+A180-1,1))</f>
        <v/>
      </c>
      <c r="C180" s="14">
        <f>IF(A180="","",$B$9)</f>
        <v/>
      </c>
      <c r="D180" s="14">
        <f>IF(A180="","",F179*$B$5/12)</f>
        <v/>
      </c>
      <c r="E180" s="14">
        <f>IF(A180="","",C180-D180)</f>
        <v/>
      </c>
      <c r="F180" s="14">
        <f>IF(A180="","",MAX(0,F179-E180))</f>
        <v/>
      </c>
    </row>
    <row r="181">
      <c r="A181" s="12">
        <f>IF(A180="","",IF(168&gt;$B$6*12,"",168))</f>
        <v/>
      </c>
      <c r="B181" s="13">
        <f>IF(A181="","",DATE(YEAR($B$7),MONTH($B$7)+A181-1,1))</f>
        <v/>
      </c>
      <c r="C181" s="14">
        <f>IF(A181="","",$B$9)</f>
        <v/>
      </c>
      <c r="D181" s="14">
        <f>IF(A181="","",F180*$B$5/12)</f>
        <v/>
      </c>
      <c r="E181" s="14">
        <f>IF(A181="","",C181-D181)</f>
        <v/>
      </c>
      <c r="F181" s="14">
        <f>IF(A181="","",MAX(0,F180-E181))</f>
        <v/>
      </c>
    </row>
    <row r="182">
      <c r="A182" s="12">
        <f>IF(A181="","",IF(169&gt;$B$6*12,"",169))</f>
        <v/>
      </c>
      <c r="B182" s="13">
        <f>IF(A182="","",DATE(YEAR($B$7),MONTH($B$7)+A182-1,1))</f>
        <v/>
      </c>
      <c r="C182" s="14">
        <f>IF(A182="","",$B$9)</f>
        <v/>
      </c>
      <c r="D182" s="14">
        <f>IF(A182="","",F181*$B$5/12)</f>
        <v/>
      </c>
      <c r="E182" s="14">
        <f>IF(A182="","",C182-D182)</f>
        <v/>
      </c>
      <c r="F182" s="14">
        <f>IF(A182="","",MAX(0,F181-E182))</f>
        <v/>
      </c>
    </row>
    <row r="183">
      <c r="A183" s="12">
        <f>IF(A182="","",IF(170&gt;$B$6*12,"",170))</f>
        <v/>
      </c>
      <c r="B183" s="13">
        <f>IF(A183="","",DATE(YEAR($B$7),MONTH($B$7)+A183-1,1))</f>
        <v/>
      </c>
      <c r="C183" s="14">
        <f>IF(A183="","",$B$9)</f>
        <v/>
      </c>
      <c r="D183" s="14">
        <f>IF(A183="","",F182*$B$5/12)</f>
        <v/>
      </c>
      <c r="E183" s="14">
        <f>IF(A183="","",C183-D183)</f>
        <v/>
      </c>
      <c r="F183" s="14">
        <f>IF(A183="","",MAX(0,F182-E183))</f>
        <v/>
      </c>
    </row>
    <row r="184">
      <c r="A184" s="12">
        <f>IF(A183="","",IF(171&gt;$B$6*12,"",171))</f>
        <v/>
      </c>
      <c r="B184" s="13">
        <f>IF(A184="","",DATE(YEAR($B$7),MONTH($B$7)+A184-1,1))</f>
        <v/>
      </c>
      <c r="C184" s="14">
        <f>IF(A184="","",$B$9)</f>
        <v/>
      </c>
      <c r="D184" s="14">
        <f>IF(A184="","",F183*$B$5/12)</f>
        <v/>
      </c>
      <c r="E184" s="14">
        <f>IF(A184="","",C184-D184)</f>
        <v/>
      </c>
      <c r="F184" s="14">
        <f>IF(A184="","",MAX(0,F183-E184))</f>
        <v/>
      </c>
    </row>
    <row r="185">
      <c r="A185" s="12">
        <f>IF(A184="","",IF(172&gt;$B$6*12,"",172))</f>
        <v/>
      </c>
      <c r="B185" s="13">
        <f>IF(A185="","",DATE(YEAR($B$7),MONTH($B$7)+A185-1,1))</f>
        <v/>
      </c>
      <c r="C185" s="14">
        <f>IF(A185="","",$B$9)</f>
        <v/>
      </c>
      <c r="D185" s="14">
        <f>IF(A185="","",F184*$B$5/12)</f>
        <v/>
      </c>
      <c r="E185" s="14">
        <f>IF(A185="","",C185-D185)</f>
        <v/>
      </c>
      <c r="F185" s="14">
        <f>IF(A185="","",MAX(0,F184-E185))</f>
        <v/>
      </c>
    </row>
    <row r="186">
      <c r="A186" s="12">
        <f>IF(A185="","",IF(173&gt;$B$6*12,"",173))</f>
        <v/>
      </c>
      <c r="B186" s="13">
        <f>IF(A186="","",DATE(YEAR($B$7),MONTH($B$7)+A186-1,1))</f>
        <v/>
      </c>
      <c r="C186" s="14">
        <f>IF(A186="","",$B$9)</f>
        <v/>
      </c>
      <c r="D186" s="14">
        <f>IF(A186="","",F185*$B$5/12)</f>
        <v/>
      </c>
      <c r="E186" s="14">
        <f>IF(A186="","",C186-D186)</f>
        <v/>
      </c>
      <c r="F186" s="14">
        <f>IF(A186="","",MAX(0,F185-E186))</f>
        <v/>
      </c>
    </row>
    <row r="187">
      <c r="A187" s="12">
        <f>IF(A186="","",IF(174&gt;$B$6*12,"",174))</f>
        <v/>
      </c>
      <c r="B187" s="13">
        <f>IF(A187="","",DATE(YEAR($B$7),MONTH($B$7)+A187-1,1))</f>
        <v/>
      </c>
      <c r="C187" s="14">
        <f>IF(A187="","",$B$9)</f>
        <v/>
      </c>
      <c r="D187" s="14">
        <f>IF(A187="","",F186*$B$5/12)</f>
        <v/>
      </c>
      <c r="E187" s="14">
        <f>IF(A187="","",C187-D187)</f>
        <v/>
      </c>
      <c r="F187" s="14">
        <f>IF(A187="","",MAX(0,F186-E187))</f>
        <v/>
      </c>
    </row>
    <row r="188">
      <c r="A188" s="12">
        <f>IF(A187="","",IF(175&gt;$B$6*12,"",175))</f>
        <v/>
      </c>
      <c r="B188" s="13">
        <f>IF(A188="","",DATE(YEAR($B$7),MONTH($B$7)+A188-1,1))</f>
        <v/>
      </c>
      <c r="C188" s="14">
        <f>IF(A188="","",$B$9)</f>
        <v/>
      </c>
      <c r="D188" s="14">
        <f>IF(A188="","",F187*$B$5/12)</f>
        <v/>
      </c>
      <c r="E188" s="14">
        <f>IF(A188="","",C188-D188)</f>
        <v/>
      </c>
      <c r="F188" s="14">
        <f>IF(A188="","",MAX(0,F187-E188))</f>
        <v/>
      </c>
    </row>
    <row r="189">
      <c r="A189" s="12">
        <f>IF(A188="","",IF(176&gt;$B$6*12,"",176))</f>
        <v/>
      </c>
      <c r="B189" s="13">
        <f>IF(A189="","",DATE(YEAR($B$7),MONTH($B$7)+A189-1,1))</f>
        <v/>
      </c>
      <c r="C189" s="14">
        <f>IF(A189="","",$B$9)</f>
        <v/>
      </c>
      <c r="D189" s="14">
        <f>IF(A189="","",F188*$B$5/12)</f>
        <v/>
      </c>
      <c r="E189" s="14">
        <f>IF(A189="","",C189-D189)</f>
        <v/>
      </c>
      <c r="F189" s="14">
        <f>IF(A189="","",MAX(0,F188-E189))</f>
        <v/>
      </c>
    </row>
    <row r="190">
      <c r="A190" s="12">
        <f>IF(A189="","",IF(177&gt;$B$6*12,"",177))</f>
        <v/>
      </c>
      <c r="B190" s="13">
        <f>IF(A190="","",DATE(YEAR($B$7),MONTH($B$7)+A190-1,1))</f>
        <v/>
      </c>
      <c r="C190" s="14">
        <f>IF(A190="","",$B$9)</f>
        <v/>
      </c>
      <c r="D190" s="14">
        <f>IF(A190="","",F189*$B$5/12)</f>
        <v/>
      </c>
      <c r="E190" s="14">
        <f>IF(A190="","",C190-D190)</f>
        <v/>
      </c>
      <c r="F190" s="14">
        <f>IF(A190="","",MAX(0,F189-E190))</f>
        <v/>
      </c>
    </row>
    <row r="191">
      <c r="A191" s="12">
        <f>IF(A190="","",IF(178&gt;$B$6*12,"",178))</f>
        <v/>
      </c>
      <c r="B191" s="13">
        <f>IF(A191="","",DATE(YEAR($B$7),MONTH($B$7)+A191-1,1))</f>
        <v/>
      </c>
      <c r="C191" s="14">
        <f>IF(A191="","",$B$9)</f>
        <v/>
      </c>
      <c r="D191" s="14">
        <f>IF(A191="","",F190*$B$5/12)</f>
        <v/>
      </c>
      <c r="E191" s="14">
        <f>IF(A191="","",C191-D191)</f>
        <v/>
      </c>
      <c r="F191" s="14">
        <f>IF(A191="","",MAX(0,F190-E191))</f>
        <v/>
      </c>
    </row>
    <row r="192">
      <c r="A192" s="12">
        <f>IF(A191="","",IF(179&gt;$B$6*12,"",179))</f>
        <v/>
      </c>
      <c r="B192" s="13">
        <f>IF(A192="","",DATE(YEAR($B$7),MONTH($B$7)+A192-1,1))</f>
        <v/>
      </c>
      <c r="C192" s="14">
        <f>IF(A192="","",$B$9)</f>
        <v/>
      </c>
      <c r="D192" s="14">
        <f>IF(A192="","",F191*$B$5/12)</f>
        <v/>
      </c>
      <c r="E192" s="14">
        <f>IF(A192="","",C192-D192)</f>
        <v/>
      </c>
      <c r="F192" s="14">
        <f>IF(A192="","",MAX(0,F191-E192))</f>
        <v/>
      </c>
    </row>
    <row r="193">
      <c r="A193" s="12">
        <f>IF(A192="","",IF(180&gt;$B$6*12,"",180))</f>
        <v/>
      </c>
      <c r="B193" s="13">
        <f>IF(A193="","",DATE(YEAR($B$7),MONTH($B$7)+A193-1,1))</f>
        <v/>
      </c>
      <c r="C193" s="14">
        <f>IF(A193="","",$B$9)</f>
        <v/>
      </c>
      <c r="D193" s="14">
        <f>IF(A193="","",F192*$B$5/12)</f>
        <v/>
      </c>
      <c r="E193" s="14">
        <f>IF(A193="","",C193-D193)</f>
        <v/>
      </c>
      <c r="F193" s="14">
        <f>IF(A193="","",MAX(0,F192-E193))</f>
        <v/>
      </c>
    </row>
    <row r="194">
      <c r="A194" s="12">
        <f>IF(A193="","",IF(181&gt;$B$6*12,"",181))</f>
        <v/>
      </c>
      <c r="B194" s="13">
        <f>IF(A194="","",DATE(YEAR($B$7),MONTH($B$7)+A194-1,1))</f>
        <v/>
      </c>
      <c r="C194" s="14">
        <f>IF(A194="","",$B$9)</f>
        <v/>
      </c>
      <c r="D194" s="14">
        <f>IF(A194="","",F193*$B$5/12)</f>
        <v/>
      </c>
      <c r="E194" s="14">
        <f>IF(A194="","",C194-D194)</f>
        <v/>
      </c>
      <c r="F194" s="14">
        <f>IF(A194="","",MAX(0,F193-E194))</f>
        <v/>
      </c>
    </row>
    <row r="195">
      <c r="A195" s="12">
        <f>IF(A194="","",IF(182&gt;$B$6*12,"",182))</f>
        <v/>
      </c>
      <c r="B195" s="13">
        <f>IF(A195="","",DATE(YEAR($B$7),MONTH($B$7)+A195-1,1))</f>
        <v/>
      </c>
      <c r="C195" s="14">
        <f>IF(A195="","",$B$9)</f>
        <v/>
      </c>
      <c r="D195" s="14">
        <f>IF(A195="","",F194*$B$5/12)</f>
        <v/>
      </c>
      <c r="E195" s="14">
        <f>IF(A195="","",C195-D195)</f>
        <v/>
      </c>
      <c r="F195" s="14">
        <f>IF(A195="","",MAX(0,F194-E195))</f>
        <v/>
      </c>
    </row>
    <row r="196">
      <c r="A196" s="12">
        <f>IF(A195="","",IF(183&gt;$B$6*12,"",183))</f>
        <v/>
      </c>
      <c r="B196" s="13">
        <f>IF(A196="","",DATE(YEAR($B$7),MONTH($B$7)+A196-1,1))</f>
        <v/>
      </c>
      <c r="C196" s="14">
        <f>IF(A196="","",$B$9)</f>
        <v/>
      </c>
      <c r="D196" s="14">
        <f>IF(A196="","",F195*$B$5/12)</f>
        <v/>
      </c>
      <c r="E196" s="14">
        <f>IF(A196="","",C196-D196)</f>
        <v/>
      </c>
      <c r="F196" s="14">
        <f>IF(A196="","",MAX(0,F195-E196))</f>
        <v/>
      </c>
    </row>
    <row r="197">
      <c r="A197" s="12">
        <f>IF(A196="","",IF(184&gt;$B$6*12,"",184))</f>
        <v/>
      </c>
      <c r="B197" s="13">
        <f>IF(A197="","",DATE(YEAR($B$7),MONTH($B$7)+A197-1,1))</f>
        <v/>
      </c>
      <c r="C197" s="14">
        <f>IF(A197="","",$B$9)</f>
        <v/>
      </c>
      <c r="D197" s="14">
        <f>IF(A197="","",F196*$B$5/12)</f>
        <v/>
      </c>
      <c r="E197" s="14">
        <f>IF(A197="","",C197-D197)</f>
        <v/>
      </c>
      <c r="F197" s="14">
        <f>IF(A197="","",MAX(0,F196-E197))</f>
        <v/>
      </c>
    </row>
    <row r="198">
      <c r="A198" s="12">
        <f>IF(A197="","",IF(185&gt;$B$6*12,"",185))</f>
        <v/>
      </c>
      <c r="B198" s="13">
        <f>IF(A198="","",DATE(YEAR($B$7),MONTH($B$7)+A198-1,1))</f>
        <v/>
      </c>
      <c r="C198" s="14">
        <f>IF(A198="","",$B$9)</f>
        <v/>
      </c>
      <c r="D198" s="14">
        <f>IF(A198="","",F197*$B$5/12)</f>
        <v/>
      </c>
      <c r="E198" s="14">
        <f>IF(A198="","",C198-D198)</f>
        <v/>
      </c>
      <c r="F198" s="14">
        <f>IF(A198="","",MAX(0,F197-E198))</f>
        <v/>
      </c>
    </row>
    <row r="199">
      <c r="A199" s="12">
        <f>IF(A198="","",IF(186&gt;$B$6*12,"",186))</f>
        <v/>
      </c>
      <c r="B199" s="13">
        <f>IF(A199="","",DATE(YEAR($B$7),MONTH($B$7)+A199-1,1))</f>
        <v/>
      </c>
      <c r="C199" s="14">
        <f>IF(A199="","",$B$9)</f>
        <v/>
      </c>
      <c r="D199" s="14">
        <f>IF(A199="","",F198*$B$5/12)</f>
        <v/>
      </c>
      <c r="E199" s="14">
        <f>IF(A199="","",C199-D199)</f>
        <v/>
      </c>
      <c r="F199" s="14">
        <f>IF(A199="","",MAX(0,F198-E199))</f>
        <v/>
      </c>
    </row>
    <row r="200">
      <c r="A200" s="12">
        <f>IF(A199="","",IF(187&gt;$B$6*12,"",187))</f>
        <v/>
      </c>
      <c r="B200" s="13">
        <f>IF(A200="","",DATE(YEAR($B$7),MONTH($B$7)+A200-1,1))</f>
        <v/>
      </c>
      <c r="C200" s="14">
        <f>IF(A200="","",$B$9)</f>
        <v/>
      </c>
      <c r="D200" s="14">
        <f>IF(A200="","",F199*$B$5/12)</f>
        <v/>
      </c>
      <c r="E200" s="14">
        <f>IF(A200="","",C200-D200)</f>
        <v/>
      </c>
      <c r="F200" s="14">
        <f>IF(A200="","",MAX(0,F199-E200))</f>
        <v/>
      </c>
    </row>
    <row r="201">
      <c r="A201" s="12">
        <f>IF(A200="","",IF(188&gt;$B$6*12,"",188))</f>
        <v/>
      </c>
      <c r="B201" s="13">
        <f>IF(A201="","",DATE(YEAR($B$7),MONTH($B$7)+A201-1,1))</f>
        <v/>
      </c>
      <c r="C201" s="14">
        <f>IF(A201="","",$B$9)</f>
        <v/>
      </c>
      <c r="D201" s="14">
        <f>IF(A201="","",F200*$B$5/12)</f>
        <v/>
      </c>
      <c r="E201" s="14">
        <f>IF(A201="","",C201-D201)</f>
        <v/>
      </c>
      <c r="F201" s="14">
        <f>IF(A201="","",MAX(0,F200-E201))</f>
        <v/>
      </c>
    </row>
    <row r="202">
      <c r="A202" s="12">
        <f>IF(A201="","",IF(189&gt;$B$6*12,"",189))</f>
        <v/>
      </c>
      <c r="B202" s="13">
        <f>IF(A202="","",DATE(YEAR($B$7),MONTH($B$7)+A202-1,1))</f>
        <v/>
      </c>
      <c r="C202" s="14">
        <f>IF(A202="","",$B$9)</f>
        <v/>
      </c>
      <c r="D202" s="14">
        <f>IF(A202="","",F201*$B$5/12)</f>
        <v/>
      </c>
      <c r="E202" s="14">
        <f>IF(A202="","",C202-D202)</f>
        <v/>
      </c>
      <c r="F202" s="14">
        <f>IF(A202="","",MAX(0,F201-E202))</f>
        <v/>
      </c>
    </row>
    <row r="203">
      <c r="A203" s="12">
        <f>IF(A202="","",IF(190&gt;$B$6*12,"",190))</f>
        <v/>
      </c>
      <c r="B203" s="13">
        <f>IF(A203="","",DATE(YEAR($B$7),MONTH($B$7)+A203-1,1))</f>
        <v/>
      </c>
      <c r="C203" s="14">
        <f>IF(A203="","",$B$9)</f>
        <v/>
      </c>
      <c r="D203" s="14">
        <f>IF(A203="","",F202*$B$5/12)</f>
        <v/>
      </c>
      <c r="E203" s="14">
        <f>IF(A203="","",C203-D203)</f>
        <v/>
      </c>
      <c r="F203" s="14">
        <f>IF(A203="","",MAX(0,F202-E203))</f>
        <v/>
      </c>
    </row>
    <row r="204">
      <c r="A204" s="12">
        <f>IF(A203="","",IF(191&gt;$B$6*12,"",191))</f>
        <v/>
      </c>
      <c r="B204" s="13">
        <f>IF(A204="","",DATE(YEAR($B$7),MONTH($B$7)+A204-1,1))</f>
        <v/>
      </c>
      <c r="C204" s="14">
        <f>IF(A204="","",$B$9)</f>
        <v/>
      </c>
      <c r="D204" s="14">
        <f>IF(A204="","",F203*$B$5/12)</f>
        <v/>
      </c>
      <c r="E204" s="14">
        <f>IF(A204="","",C204-D204)</f>
        <v/>
      </c>
      <c r="F204" s="14">
        <f>IF(A204="","",MAX(0,F203-E204))</f>
        <v/>
      </c>
    </row>
    <row r="205">
      <c r="A205" s="12">
        <f>IF(A204="","",IF(192&gt;$B$6*12,"",192))</f>
        <v/>
      </c>
      <c r="B205" s="13">
        <f>IF(A205="","",DATE(YEAR($B$7),MONTH($B$7)+A205-1,1))</f>
        <v/>
      </c>
      <c r="C205" s="14">
        <f>IF(A205="","",$B$9)</f>
        <v/>
      </c>
      <c r="D205" s="14">
        <f>IF(A205="","",F204*$B$5/12)</f>
        <v/>
      </c>
      <c r="E205" s="14">
        <f>IF(A205="","",C205-D205)</f>
        <v/>
      </c>
      <c r="F205" s="14">
        <f>IF(A205="","",MAX(0,F204-E205))</f>
        <v/>
      </c>
    </row>
    <row r="206">
      <c r="A206" s="12">
        <f>IF(A205="","",IF(193&gt;$B$6*12,"",193))</f>
        <v/>
      </c>
      <c r="B206" s="13">
        <f>IF(A206="","",DATE(YEAR($B$7),MONTH($B$7)+A206-1,1))</f>
        <v/>
      </c>
      <c r="C206" s="14">
        <f>IF(A206="","",$B$9)</f>
        <v/>
      </c>
      <c r="D206" s="14">
        <f>IF(A206="","",F205*$B$5/12)</f>
        <v/>
      </c>
      <c r="E206" s="14">
        <f>IF(A206="","",C206-D206)</f>
        <v/>
      </c>
      <c r="F206" s="14">
        <f>IF(A206="","",MAX(0,F205-E206))</f>
        <v/>
      </c>
    </row>
    <row r="207">
      <c r="A207" s="12">
        <f>IF(A206="","",IF(194&gt;$B$6*12,"",194))</f>
        <v/>
      </c>
      <c r="B207" s="13">
        <f>IF(A207="","",DATE(YEAR($B$7),MONTH($B$7)+A207-1,1))</f>
        <v/>
      </c>
      <c r="C207" s="14">
        <f>IF(A207="","",$B$9)</f>
        <v/>
      </c>
      <c r="D207" s="14">
        <f>IF(A207="","",F206*$B$5/12)</f>
        <v/>
      </c>
      <c r="E207" s="14">
        <f>IF(A207="","",C207-D207)</f>
        <v/>
      </c>
      <c r="F207" s="14">
        <f>IF(A207="","",MAX(0,F206-E207))</f>
        <v/>
      </c>
    </row>
    <row r="208">
      <c r="A208" s="12">
        <f>IF(A207="","",IF(195&gt;$B$6*12,"",195))</f>
        <v/>
      </c>
      <c r="B208" s="13">
        <f>IF(A208="","",DATE(YEAR($B$7),MONTH($B$7)+A208-1,1))</f>
        <v/>
      </c>
      <c r="C208" s="14">
        <f>IF(A208="","",$B$9)</f>
        <v/>
      </c>
      <c r="D208" s="14">
        <f>IF(A208="","",F207*$B$5/12)</f>
        <v/>
      </c>
      <c r="E208" s="14">
        <f>IF(A208="","",C208-D208)</f>
        <v/>
      </c>
      <c r="F208" s="14">
        <f>IF(A208="","",MAX(0,F207-E208))</f>
        <v/>
      </c>
    </row>
    <row r="209">
      <c r="A209" s="12">
        <f>IF(A208="","",IF(196&gt;$B$6*12,"",196))</f>
        <v/>
      </c>
      <c r="B209" s="13">
        <f>IF(A209="","",DATE(YEAR($B$7),MONTH($B$7)+A209-1,1))</f>
        <v/>
      </c>
      <c r="C209" s="14">
        <f>IF(A209="","",$B$9)</f>
        <v/>
      </c>
      <c r="D209" s="14">
        <f>IF(A209="","",F208*$B$5/12)</f>
        <v/>
      </c>
      <c r="E209" s="14">
        <f>IF(A209="","",C209-D209)</f>
        <v/>
      </c>
      <c r="F209" s="14">
        <f>IF(A209="","",MAX(0,F208-E209))</f>
        <v/>
      </c>
    </row>
    <row r="210">
      <c r="A210" s="12">
        <f>IF(A209="","",IF(197&gt;$B$6*12,"",197))</f>
        <v/>
      </c>
      <c r="B210" s="13">
        <f>IF(A210="","",DATE(YEAR($B$7),MONTH($B$7)+A210-1,1))</f>
        <v/>
      </c>
      <c r="C210" s="14">
        <f>IF(A210="","",$B$9)</f>
        <v/>
      </c>
      <c r="D210" s="14">
        <f>IF(A210="","",F209*$B$5/12)</f>
        <v/>
      </c>
      <c r="E210" s="14">
        <f>IF(A210="","",C210-D210)</f>
        <v/>
      </c>
      <c r="F210" s="14">
        <f>IF(A210="","",MAX(0,F209-E210))</f>
        <v/>
      </c>
    </row>
    <row r="211">
      <c r="A211" s="12">
        <f>IF(A210="","",IF(198&gt;$B$6*12,"",198))</f>
        <v/>
      </c>
      <c r="B211" s="13">
        <f>IF(A211="","",DATE(YEAR($B$7),MONTH($B$7)+A211-1,1))</f>
        <v/>
      </c>
      <c r="C211" s="14">
        <f>IF(A211="","",$B$9)</f>
        <v/>
      </c>
      <c r="D211" s="14">
        <f>IF(A211="","",F210*$B$5/12)</f>
        <v/>
      </c>
      <c r="E211" s="14">
        <f>IF(A211="","",C211-D211)</f>
        <v/>
      </c>
      <c r="F211" s="14">
        <f>IF(A211="","",MAX(0,F210-E211))</f>
        <v/>
      </c>
    </row>
    <row r="212">
      <c r="A212" s="12">
        <f>IF(A211="","",IF(199&gt;$B$6*12,"",199))</f>
        <v/>
      </c>
      <c r="B212" s="13">
        <f>IF(A212="","",DATE(YEAR($B$7),MONTH($B$7)+A212-1,1))</f>
        <v/>
      </c>
      <c r="C212" s="14">
        <f>IF(A212="","",$B$9)</f>
        <v/>
      </c>
      <c r="D212" s="14">
        <f>IF(A212="","",F211*$B$5/12)</f>
        <v/>
      </c>
      <c r="E212" s="14">
        <f>IF(A212="","",C212-D212)</f>
        <v/>
      </c>
      <c r="F212" s="14">
        <f>IF(A212="","",MAX(0,F211-E212))</f>
        <v/>
      </c>
    </row>
    <row r="213">
      <c r="A213" s="12">
        <f>IF(A212="","",IF(200&gt;$B$6*12,"",200))</f>
        <v/>
      </c>
      <c r="B213" s="13">
        <f>IF(A213="","",DATE(YEAR($B$7),MONTH($B$7)+A213-1,1))</f>
        <v/>
      </c>
      <c r="C213" s="14">
        <f>IF(A213="","",$B$9)</f>
        <v/>
      </c>
      <c r="D213" s="14">
        <f>IF(A213="","",F212*$B$5/12)</f>
        <v/>
      </c>
      <c r="E213" s="14">
        <f>IF(A213="","",C213-D213)</f>
        <v/>
      </c>
      <c r="F213" s="14">
        <f>IF(A213="","",MAX(0,F212-E213))</f>
        <v/>
      </c>
    </row>
    <row r="214">
      <c r="A214" s="12">
        <f>IF(A213="","",IF(201&gt;$B$6*12,"",201))</f>
        <v/>
      </c>
      <c r="B214" s="13">
        <f>IF(A214="","",DATE(YEAR($B$7),MONTH($B$7)+A214-1,1))</f>
        <v/>
      </c>
      <c r="C214" s="14">
        <f>IF(A214="","",$B$9)</f>
        <v/>
      </c>
      <c r="D214" s="14">
        <f>IF(A214="","",F213*$B$5/12)</f>
        <v/>
      </c>
      <c r="E214" s="14">
        <f>IF(A214="","",C214-D214)</f>
        <v/>
      </c>
      <c r="F214" s="14">
        <f>IF(A214="","",MAX(0,F213-E214))</f>
        <v/>
      </c>
    </row>
    <row r="215">
      <c r="A215" s="12">
        <f>IF(A214="","",IF(202&gt;$B$6*12,"",202))</f>
        <v/>
      </c>
      <c r="B215" s="13">
        <f>IF(A215="","",DATE(YEAR($B$7),MONTH($B$7)+A215-1,1))</f>
        <v/>
      </c>
      <c r="C215" s="14">
        <f>IF(A215="","",$B$9)</f>
        <v/>
      </c>
      <c r="D215" s="14">
        <f>IF(A215="","",F214*$B$5/12)</f>
        <v/>
      </c>
      <c r="E215" s="14">
        <f>IF(A215="","",C215-D215)</f>
        <v/>
      </c>
      <c r="F215" s="14">
        <f>IF(A215="","",MAX(0,F214-E215))</f>
        <v/>
      </c>
    </row>
    <row r="216">
      <c r="A216" s="12">
        <f>IF(A215="","",IF(203&gt;$B$6*12,"",203))</f>
        <v/>
      </c>
      <c r="B216" s="13">
        <f>IF(A216="","",DATE(YEAR($B$7),MONTH($B$7)+A216-1,1))</f>
        <v/>
      </c>
      <c r="C216" s="14">
        <f>IF(A216="","",$B$9)</f>
        <v/>
      </c>
      <c r="D216" s="14">
        <f>IF(A216="","",F215*$B$5/12)</f>
        <v/>
      </c>
      <c r="E216" s="14">
        <f>IF(A216="","",C216-D216)</f>
        <v/>
      </c>
      <c r="F216" s="14">
        <f>IF(A216="","",MAX(0,F215-E216))</f>
        <v/>
      </c>
    </row>
    <row r="217">
      <c r="A217" s="12">
        <f>IF(A216="","",IF(204&gt;$B$6*12,"",204))</f>
        <v/>
      </c>
      <c r="B217" s="13">
        <f>IF(A217="","",DATE(YEAR($B$7),MONTH($B$7)+A217-1,1))</f>
        <v/>
      </c>
      <c r="C217" s="14">
        <f>IF(A217="","",$B$9)</f>
        <v/>
      </c>
      <c r="D217" s="14">
        <f>IF(A217="","",F216*$B$5/12)</f>
        <v/>
      </c>
      <c r="E217" s="14">
        <f>IF(A217="","",C217-D217)</f>
        <v/>
      </c>
      <c r="F217" s="14">
        <f>IF(A217="","",MAX(0,F216-E217))</f>
        <v/>
      </c>
    </row>
    <row r="218">
      <c r="A218" s="12">
        <f>IF(A217="","",IF(205&gt;$B$6*12,"",205))</f>
        <v/>
      </c>
      <c r="B218" s="13">
        <f>IF(A218="","",DATE(YEAR($B$7),MONTH($B$7)+A218-1,1))</f>
        <v/>
      </c>
      <c r="C218" s="14">
        <f>IF(A218="","",$B$9)</f>
        <v/>
      </c>
      <c r="D218" s="14">
        <f>IF(A218="","",F217*$B$5/12)</f>
        <v/>
      </c>
      <c r="E218" s="14">
        <f>IF(A218="","",C218-D218)</f>
        <v/>
      </c>
      <c r="F218" s="14">
        <f>IF(A218="","",MAX(0,F217-E218))</f>
        <v/>
      </c>
    </row>
    <row r="219">
      <c r="A219" s="12">
        <f>IF(A218="","",IF(206&gt;$B$6*12,"",206))</f>
        <v/>
      </c>
      <c r="B219" s="13">
        <f>IF(A219="","",DATE(YEAR($B$7),MONTH($B$7)+A219-1,1))</f>
        <v/>
      </c>
      <c r="C219" s="14">
        <f>IF(A219="","",$B$9)</f>
        <v/>
      </c>
      <c r="D219" s="14">
        <f>IF(A219="","",F218*$B$5/12)</f>
        <v/>
      </c>
      <c r="E219" s="14">
        <f>IF(A219="","",C219-D219)</f>
        <v/>
      </c>
      <c r="F219" s="14">
        <f>IF(A219="","",MAX(0,F218-E219))</f>
        <v/>
      </c>
    </row>
    <row r="220">
      <c r="A220" s="12">
        <f>IF(A219="","",IF(207&gt;$B$6*12,"",207))</f>
        <v/>
      </c>
      <c r="B220" s="13">
        <f>IF(A220="","",DATE(YEAR($B$7),MONTH($B$7)+A220-1,1))</f>
        <v/>
      </c>
      <c r="C220" s="14">
        <f>IF(A220="","",$B$9)</f>
        <v/>
      </c>
      <c r="D220" s="14">
        <f>IF(A220="","",F219*$B$5/12)</f>
        <v/>
      </c>
      <c r="E220" s="14">
        <f>IF(A220="","",C220-D220)</f>
        <v/>
      </c>
      <c r="F220" s="14">
        <f>IF(A220="","",MAX(0,F219-E220))</f>
        <v/>
      </c>
    </row>
    <row r="221">
      <c r="A221" s="12">
        <f>IF(A220="","",IF(208&gt;$B$6*12,"",208))</f>
        <v/>
      </c>
      <c r="B221" s="13">
        <f>IF(A221="","",DATE(YEAR($B$7),MONTH($B$7)+A221-1,1))</f>
        <v/>
      </c>
      <c r="C221" s="14">
        <f>IF(A221="","",$B$9)</f>
        <v/>
      </c>
      <c r="D221" s="14">
        <f>IF(A221="","",F220*$B$5/12)</f>
        <v/>
      </c>
      <c r="E221" s="14">
        <f>IF(A221="","",C221-D221)</f>
        <v/>
      </c>
      <c r="F221" s="14">
        <f>IF(A221="","",MAX(0,F220-E221))</f>
        <v/>
      </c>
    </row>
    <row r="222">
      <c r="A222" s="12">
        <f>IF(A221="","",IF(209&gt;$B$6*12,"",209))</f>
        <v/>
      </c>
      <c r="B222" s="13">
        <f>IF(A222="","",DATE(YEAR($B$7),MONTH($B$7)+A222-1,1))</f>
        <v/>
      </c>
      <c r="C222" s="14">
        <f>IF(A222="","",$B$9)</f>
        <v/>
      </c>
      <c r="D222" s="14">
        <f>IF(A222="","",F221*$B$5/12)</f>
        <v/>
      </c>
      <c r="E222" s="14">
        <f>IF(A222="","",C222-D222)</f>
        <v/>
      </c>
      <c r="F222" s="14">
        <f>IF(A222="","",MAX(0,F221-E222))</f>
        <v/>
      </c>
    </row>
    <row r="223">
      <c r="A223" s="12">
        <f>IF(A222="","",IF(210&gt;$B$6*12,"",210))</f>
        <v/>
      </c>
      <c r="B223" s="13">
        <f>IF(A223="","",DATE(YEAR($B$7),MONTH($B$7)+A223-1,1))</f>
        <v/>
      </c>
      <c r="C223" s="14">
        <f>IF(A223="","",$B$9)</f>
        <v/>
      </c>
      <c r="D223" s="14">
        <f>IF(A223="","",F222*$B$5/12)</f>
        <v/>
      </c>
      <c r="E223" s="14">
        <f>IF(A223="","",C223-D223)</f>
        <v/>
      </c>
      <c r="F223" s="14">
        <f>IF(A223="","",MAX(0,F222-E223))</f>
        <v/>
      </c>
    </row>
    <row r="224">
      <c r="A224" s="12">
        <f>IF(A223="","",IF(211&gt;$B$6*12,"",211))</f>
        <v/>
      </c>
      <c r="B224" s="13">
        <f>IF(A224="","",DATE(YEAR($B$7),MONTH($B$7)+A224-1,1))</f>
        <v/>
      </c>
      <c r="C224" s="14">
        <f>IF(A224="","",$B$9)</f>
        <v/>
      </c>
      <c r="D224" s="14">
        <f>IF(A224="","",F223*$B$5/12)</f>
        <v/>
      </c>
      <c r="E224" s="14">
        <f>IF(A224="","",C224-D224)</f>
        <v/>
      </c>
      <c r="F224" s="14">
        <f>IF(A224="","",MAX(0,F223-E224))</f>
        <v/>
      </c>
    </row>
    <row r="225">
      <c r="A225" s="12">
        <f>IF(A224="","",IF(212&gt;$B$6*12,"",212))</f>
        <v/>
      </c>
      <c r="B225" s="13">
        <f>IF(A225="","",DATE(YEAR($B$7),MONTH($B$7)+A225-1,1))</f>
        <v/>
      </c>
      <c r="C225" s="14">
        <f>IF(A225="","",$B$9)</f>
        <v/>
      </c>
      <c r="D225" s="14">
        <f>IF(A225="","",F224*$B$5/12)</f>
        <v/>
      </c>
      <c r="E225" s="14">
        <f>IF(A225="","",C225-D225)</f>
        <v/>
      </c>
      <c r="F225" s="14">
        <f>IF(A225="","",MAX(0,F224-E225))</f>
        <v/>
      </c>
    </row>
    <row r="226">
      <c r="A226" s="12">
        <f>IF(A225="","",IF(213&gt;$B$6*12,"",213))</f>
        <v/>
      </c>
      <c r="B226" s="13">
        <f>IF(A226="","",DATE(YEAR($B$7),MONTH($B$7)+A226-1,1))</f>
        <v/>
      </c>
      <c r="C226" s="14">
        <f>IF(A226="","",$B$9)</f>
        <v/>
      </c>
      <c r="D226" s="14">
        <f>IF(A226="","",F225*$B$5/12)</f>
        <v/>
      </c>
      <c r="E226" s="14">
        <f>IF(A226="","",C226-D226)</f>
        <v/>
      </c>
      <c r="F226" s="14">
        <f>IF(A226="","",MAX(0,F225-E226))</f>
        <v/>
      </c>
    </row>
    <row r="227">
      <c r="A227" s="12">
        <f>IF(A226="","",IF(214&gt;$B$6*12,"",214))</f>
        <v/>
      </c>
      <c r="B227" s="13">
        <f>IF(A227="","",DATE(YEAR($B$7),MONTH($B$7)+A227-1,1))</f>
        <v/>
      </c>
      <c r="C227" s="14">
        <f>IF(A227="","",$B$9)</f>
        <v/>
      </c>
      <c r="D227" s="14">
        <f>IF(A227="","",F226*$B$5/12)</f>
        <v/>
      </c>
      <c r="E227" s="14">
        <f>IF(A227="","",C227-D227)</f>
        <v/>
      </c>
      <c r="F227" s="14">
        <f>IF(A227="","",MAX(0,F226-E227))</f>
        <v/>
      </c>
    </row>
    <row r="228">
      <c r="A228" s="12">
        <f>IF(A227="","",IF(215&gt;$B$6*12,"",215))</f>
        <v/>
      </c>
      <c r="B228" s="13">
        <f>IF(A228="","",DATE(YEAR($B$7),MONTH($B$7)+A228-1,1))</f>
        <v/>
      </c>
      <c r="C228" s="14">
        <f>IF(A228="","",$B$9)</f>
        <v/>
      </c>
      <c r="D228" s="14">
        <f>IF(A228="","",F227*$B$5/12)</f>
        <v/>
      </c>
      <c r="E228" s="14">
        <f>IF(A228="","",C228-D228)</f>
        <v/>
      </c>
      <c r="F228" s="14">
        <f>IF(A228="","",MAX(0,F227-E228))</f>
        <v/>
      </c>
    </row>
    <row r="229">
      <c r="A229" s="12">
        <f>IF(A228="","",IF(216&gt;$B$6*12,"",216))</f>
        <v/>
      </c>
      <c r="B229" s="13">
        <f>IF(A229="","",DATE(YEAR($B$7),MONTH($B$7)+A229-1,1))</f>
        <v/>
      </c>
      <c r="C229" s="14">
        <f>IF(A229="","",$B$9)</f>
        <v/>
      </c>
      <c r="D229" s="14">
        <f>IF(A229="","",F228*$B$5/12)</f>
        <v/>
      </c>
      <c r="E229" s="14">
        <f>IF(A229="","",C229-D229)</f>
        <v/>
      </c>
      <c r="F229" s="14">
        <f>IF(A229="","",MAX(0,F228-E229))</f>
        <v/>
      </c>
    </row>
    <row r="230">
      <c r="A230" s="12">
        <f>IF(A229="","",IF(217&gt;$B$6*12,"",217))</f>
        <v/>
      </c>
      <c r="B230" s="13">
        <f>IF(A230="","",DATE(YEAR($B$7),MONTH($B$7)+A230-1,1))</f>
        <v/>
      </c>
      <c r="C230" s="14">
        <f>IF(A230="","",$B$9)</f>
        <v/>
      </c>
      <c r="D230" s="14">
        <f>IF(A230="","",F229*$B$5/12)</f>
        <v/>
      </c>
      <c r="E230" s="14">
        <f>IF(A230="","",C230-D230)</f>
        <v/>
      </c>
      <c r="F230" s="14">
        <f>IF(A230="","",MAX(0,F229-E230))</f>
        <v/>
      </c>
    </row>
    <row r="231">
      <c r="A231" s="12">
        <f>IF(A230="","",IF(218&gt;$B$6*12,"",218))</f>
        <v/>
      </c>
      <c r="B231" s="13">
        <f>IF(A231="","",DATE(YEAR($B$7),MONTH($B$7)+A231-1,1))</f>
        <v/>
      </c>
      <c r="C231" s="14">
        <f>IF(A231="","",$B$9)</f>
        <v/>
      </c>
      <c r="D231" s="14">
        <f>IF(A231="","",F230*$B$5/12)</f>
        <v/>
      </c>
      <c r="E231" s="14">
        <f>IF(A231="","",C231-D231)</f>
        <v/>
      </c>
      <c r="F231" s="14">
        <f>IF(A231="","",MAX(0,F230-E231))</f>
        <v/>
      </c>
    </row>
    <row r="232">
      <c r="A232" s="12">
        <f>IF(A231="","",IF(219&gt;$B$6*12,"",219))</f>
        <v/>
      </c>
      <c r="B232" s="13">
        <f>IF(A232="","",DATE(YEAR($B$7),MONTH($B$7)+A232-1,1))</f>
        <v/>
      </c>
      <c r="C232" s="14">
        <f>IF(A232="","",$B$9)</f>
        <v/>
      </c>
      <c r="D232" s="14">
        <f>IF(A232="","",F231*$B$5/12)</f>
        <v/>
      </c>
      <c r="E232" s="14">
        <f>IF(A232="","",C232-D232)</f>
        <v/>
      </c>
      <c r="F232" s="14">
        <f>IF(A232="","",MAX(0,F231-E232))</f>
        <v/>
      </c>
    </row>
    <row r="233">
      <c r="A233" s="12">
        <f>IF(A232="","",IF(220&gt;$B$6*12,"",220))</f>
        <v/>
      </c>
      <c r="B233" s="13">
        <f>IF(A233="","",DATE(YEAR($B$7),MONTH($B$7)+A233-1,1))</f>
        <v/>
      </c>
      <c r="C233" s="14">
        <f>IF(A233="","",$B$9)</f>
        <v/>
      </c>
      <c r="D233" s="14">
        <f>IF(A233="","",F232*$B$5/12)</f>
        <v/>
      </c>
      <c r="E233" s="14">
        <f>IF(A233="","",C233-D233)</f>
        <v/>
      </c>
      <c r="F233" s="14">
        <f>IF(A233="","",MAX(0,F232-E233))</f>
        <v/>
      </c>
    </row>
    <row r="234">
      <c r="A234" s="12">
        <f>IF(A233="","",IF(221&gt;$B$6*12,"",221))</f>
        <v/>
      </c>
      <c r="B234" s="13">
        <f>IF(A234="","",DATE(YEAR($B$7),MONTH($B$7)+A234-1,1))</f>
        <v/>
      </c>
      <c r="C234" s="14">
        <f>IF(A234="","",$B$9)</f>
        <v/>
      </c>
      <c r="D234" s="14">
        <f>IF(A234="","",F233*$B$5/12)</f>
        <v/>
      </c>
      <c r="E234" s="14">
        <f>IF(A234="","",C234-D234)</f>
        <v/>
      </c>
      <c r="F234" s="14">
        <f>IF(A234="","",MAX(0,F233-E234))</f>
        <v/>
      </c>
    </row>
    <row r="235">
      <c r="A235" s="12">
        <f>IF(A234="","",IF(222&gt;$B$6*12,"",222))</f>
        <v/>
      </c>
      <c r="B235" s="13">
        <f>IF(A235="","",DATE(YEAR($B$7),MONTH($B$7)+A235-1,1))</f>
        <v/>
      </c>
      <c r="C235" s="14">
        <f>IF(A235="","",$B$9)</f>
        <v/>
      </c>
      <c r="D235" s="14">
        <f>IF(A235="","",F234*$B$5/12)</f>
        <v/>
      </c>
      <c r="E235" s="14">
        <f>IF(A235="","",C235-D235)</f>
        <v/>
      </c>
      <c r="F235" s="14">
        <f>IF(A235="","",MAX(0,F234-E235))</f>
        <v/>
      </c>
    </row>
    <row r="236">
      <c r="A236" s="12">
        <f>IF(A235="","",IF(223&gt;$B$6*12,"",223))</f>
        <v/>
      </c>
      <c r="B236" s="13">
        <f>IF(A236="","",DATE(YEAR($B$7),MONTH($B$7)+A236-1,1))</f>
        <v/>
      </c>
      <c r="C236" s="14">
        <f>IF(A236="","",$B$9)</f>
        <v/>
      </c>
      <c r="D236" s="14">
        <f>IF(A236="","",F235*$B$5/12)</f>
        <v/>
      </c>
      <c r="E236" s="14">
        <f>IF(A236="","",C236-D236)</f>
        <v/>
      </c>
      <c r="F236" s="14">
        <f>IF(A236="","",MAX(0,F235-E236))</f>
        <v/>
      </c>
    </row>
    <row r="237">
      <c r="A237" s="12">
        <f>IF(A236="","",IF(224&gt;$B$6*12,"",224))</f>
        <v/>
      </c>
      <c r="B237" s="13">
        <f>IF(A237="","",DATE(YEAR($B$7),MONTH($B$7)+A237-1,1))</f>
        <v/>
      </c>
      <c r="C237" s="14">
        <f>IF(A237="","",$B$9)</f>
        <v/>
      </c>
      <c r="D237" s="14">
        <f>IF(A237="","",F236*$B$5/12)</f>
        <v/>
      </c>
      <c r="E237" s="14">
        <f>IF(A237="","",C237-D237)</f>
        <v/>
      </c>
      <c r="F237" s="14">
        <f>IF(A237="","",MAX(0,F236-E237))</f>
        <v/>
      </c>
    </row>
    <row r="238">
      <c r="A238" s="12">
        <f>IF(A237="","",IF(225&gt;$B$6*12,"",225))</f>
        <v/>
      </c>
      <c r="B238" s="13">
        <f>IF(A238="","",DATE(YEAR($B$7),MONTH($B$7)+A238-1,1))</f>
        <v/>
      </c>
      <c r="C238" s="14">
        <f>IF(A238="","",$B$9)</f>
        <v/>
      </c>
      <c r="D238" s="14">
        <f>IF(A238="","",F237*$B$5/12)</f>
        <v/>
      </c>
      <c r="E238" s="14">
        <f>IF(A238="","",C238-D238)</f>
        <v/>
      </c>
      <c r="F238" s="14">
        <f>IF(A238="","",MAX(0,F237-E238))</f>
        <v/>
      </c>
    </row>
    <row r="239">
      <c r="A239" s="12">
        <f>IF(A238="","",IF(226&gt;$B$6*12,"",226))</f>
        <v/>
      </c>
      <c r="B239" s="13">
        <f>IF(A239="","",DATE(YEAR($B$7),MONTH($B$7)+A239-1,1))</f>
        <v/>
      </c>
      <c r="C239" s="14">
        <f>IF(A239="","",$B$9)</f>
        <v/>
      </c>
      <c r="D239" s="14">
        <f>IF(A239="","",F238*$B$5/12)</f>
        <v/>
      </c>
      <c r="E239" s="14">
        <f>IF(A239="","",C239-D239)</f>
        <v/>
      </c>
      <c r="F239" s="14">
        <f>IF(A239="","",MAX(0,F238-E239))</f>
        <v/>
      </c>
    </row>
    <row r="240">
      <c r="A240" s="12">
        <f>IF(A239="","",IF(227&gt;$B$6*12,"",227))</f>
        <v/>
      </c>
      <c r="B240" s="13">
        <f>IF(A240="","",DATE(YEAR($B$7),MONTH($B$7)+A240-1,1))</f>
        <v/>
      </c>
      <c r="C240" s="14">
        <f>IF(A240="","",$B$9)</f>
        <v/>
      </c>
      <c r="D240" s="14">
        <f>IF(A240="","",F239*$B$5/12)</f>
        <v/>
      </c>
      <c r="E240" s="14">
        <f>IF(A240="","",C240-D240)</f>
        <v/>
      </c>
      <c r="F240" s="14">
        <f>IF(A240="","",MAX(0,F239-E240))</f>
        <v/>
      </c>
    </row>
    <row r="241">
      <c r="A241" s="12">
        <f>IF(A240="","",IF(228&gt;$B$6*12,"",228))</f>
        <v/>
      </c>
      <c r="B241" s="13">
        <f>IF(A241="","",DATE(YEAR($B$7),MONTH($B$7)+A241-1,1))</f>
        <v/>
      </c>
      <c r="C241" s="14">
        <f>IF(A241="","",$B$9)</f>
        <v/>
      </c>
      <c r="D241" s="14">
        <f>IF(A241="","",F240*$B$5/12)</f>
        <v/>
      </c>
      <c r="E241" s="14">
        <f>IF(A241="","",C241-D241)</f>
        <v/>
      </c>
      <c r="F241" s="14">
        <f>IF(A241="","",MAX(0,F240-E241))</f>
        <v/>
      </c>
    </row>
    <row r="242">
      <c r="A242" s="12">
        <f>IF(A241="","",IF(229&gt;$B$6*12,"",229))</f>
        <v/>
      </c>
      <c r="B242" s="13">
        <f>IF(A242="","",DATE(YEAR($B$7),MONTH($B$7)+A242-1,1))</f>
        <v/>
      </c>
      <c r="C242" s="14">
        <f>IF(A242="","",$B$9)</f>
        <v/>
      </c>
      <c r="D242" s="14">
        <f>IF(A242="","",F241*$B$5/12)</f>
        <v/>
      </c>
      <c r="E242" s="14">
        <f>IF(A242="","",C242-D242)</f>
        <v/>
      </c>
      <c r="F242" s="14">
        <f>IF(A242="","",MAX(0,F241-E242))</f>
        <v/>
      </c>
    </row>
    <row r="243">
      <c r="A243" s="12">
        <f>IF(A242="","",IF(230&gt;$B$6*12,"",230))</f>
        <v/>
      </c>
      <c r="B243" s="13">
        <f>IF(A243="","",DATE(YEAR($B$7),MONTH($B$7)+A243-1,1))</f>
        <v/>
      </c>
      <c r="C243" s="14">
        <f>IF(A243="","",$B$9)</f>
        <v/>
      </c>
      <c r="D243" s="14">
        <f>IF(A243="","",F242*$B$5/12)</f>
        <v/>
      </c>
      <c r="E243" s="14">
        <f>IF(A243="","",C243-D243)</f>
        <v/>
      </c>
      <c r="F243" s="14">
        <f>IF(A243="","",MAX(0,F242-E243))</f>
        <v/>
      </c>
    </row>
    <row r="244">
      <c r="A244" s="12">
        <f>IF(A243="","",IF(231&gt;$B$6*12,"",231))</f>
        <v/>
      </c>
      <c r="B244" s="13">
        <f>IF(A244="","",DATE(YEAR($B$7),MONTH($B$7)+A244-1,1))</f>
        <v/>
      </c>
      <c r="C244" s="14">
        <f>IF(A244="","",$B$9)</f>
        <v/>
      </c>
      <c r="D244" s="14">
        <f>IF(A244="","",F243*$B$5/12)</f>
        <v/>
      </c>
      <c r="E244" s="14">
        <f>IF(A244="","",C244-D244)</f>
        <v/>
      </c>
      <c r="F244" s="14">
        <f>IF(A244="","",MAX(0,F243-E244))</f>
        <v/>
      </c>
    </row>
    <row r="245">
      <c r="A245" s="12">
        <f>IF(A244="","",IF(232&gt;$B$6*12,"",232))</f>
        <v/>
      </c>
      <c r="B245" s="13">
        <f>IF(A245="","",DATE(YEAR($B$7),MONTH($B$7)+A245-1,1))</f>
        <v/>
      </c>
      <c r="C245" s="14">
        <f>IF(A245="","",$B$9)</f>
        <v/>
      </c>
      <c r="D245" s="14">
        <f>IF(A245="","",F244*$B$5/12)</f>
        <v/>
      </c>
      <c r="E245" s="14">
        <f>IF(A245="","",C245-D245)</f>
        <v/>
      </c>
      <c r="F245" s="14">
        <f>IF(A245="","",MAX(0,F244-E245))</f>
        <v/>
      </c>
    </row>
    <row r="246">
      <c r="A246" s="12">
        <f>IF(A245="","",IF(233&gt;$B$6*12,"",233))</f>
        <v/>
      </c>
      <c r="B246" s="13">
        <f>IF(A246="","",DATE(YEAR($B$7),MONTH($B$7)+A246-1,1))</f>
        <v/>
      </c>
      <c r="C246" s="14">
        <f>IF(A246="","",$B$9)</f>
        <v/>
      </c>
      <c r="D246" s="14">
        <f>IF(A246="","",F245*$B$5/12)</f>
        <v/>
      </c>
      <c r="E246" s="14">
        <f>IF(A246="","",C246-D246)</f>
        <v/>
      </c>
      <c r="F246" s="14">
        <f>IF(A246="","",MAX(0,F245-E246))</f>
        <v/>
      </c>
    </row>
    <row r="247">
      <c r="A247" s="12">
        <f>IF(A246="","",IF(234&gt;$B$6*12,"",234))</f>
        <v/>
      </c>
      <c r="B247" s="13">
        <f>IF(A247="","",DATE(YEAR($B$7),MONTH($B$7)+A247-1,1))</f>
        <v/>
      </c>
      <c r="C247" s="14">
        <f>IF(A247="","",$B$9)</f>
        <v/>
      </c>
      <c r="D247" s="14">
        <f>IF(A247="","",F246*$B$5/12)</f>
        <v/>
      </c>
      <c r="E247" s="14">
        <f>IF(A247="","",C247-D247)</f>
        <v/>
      </c>
      <c r="F247" s="14">
        <f>IF(A247="","",MAX(0,F246-E247))</f>
        <v/>
      </c>
    </row>
    <row r="248">
      <c r="A248" s="12">
        <f>IF(A247="","",IF(235&gt;$B$6*12,"",235))</f>
        <v/>
      </c>
      <c r="B248" s="13">
        <f>IF(A248="","",DATE(YEAR($B$7),MONTH($B$7)+A248-1,1))</f>
        <v/>
      </c>
      <c r="C248" s="14">
        <f>IF(A248="","",$B$9)</f>
        <v/>
      </c>
      <c r="D248" s="14">
        <f>IF(A248="","",F247*$B$5/12)</f>
        <v/>
      </c>
      <c r="E248" s="14">
        <f>IF(A248="","",C248-D248)</f>
        <v/>
      </c>
      <c r="F248" s="14">
        <f>IF(A248="","",MAX(0,F247-E248))</f>
        <v/>
      </c>
    </row>
    <row r="249">
      <c r="A249" s="12">
        <f>IF(A248="","",IF(236&gt;$B$6*12,"",236))</f>
        <v/>
      </c>
      <c r="B249" s="13">
        <f>IF(A249="","",DATE(YEAR($B$7),MONTH($B$7)+A249-1,1))</f>
        <v/>
      </c>
      <c r="C249" s="14">
        <f>IF(A249="","",$B$9)</f>
        <v/>
      </c>
      <c r="D249" s="14">
        <f>IF(A249="","",F248*$B$5/12)</f>
        <v/>
      </c>
      <c r="E249" s="14">
        <f>IF(A249="","",C249-D249)</f>
        <v/>
      </c>
      <c r="F249" s="14">
        <f>IF(A249="","",MAX(0,F248-E249))</f>
        <v/>
      </c>
    </row>
    <row r="250">
      <c r="A250" s="12">
        <f>IF(A249="","",IF(237&gt;$B$6*12,"",237))</f>
        <v/>
      </c>
      <c r="B250" s="13">
        <f>IF(A250="","",DATE(YEAR($B$7),MONTH($B$7)+A250-1,1))</f>
        <v/>
      </c>
      <c r="C250" s="14">
        <f>IF(A250="","",$B$9)</f>
        <v/>
      </c>
      <c r="D250" s="14">
        <f>IF(A250="","",F249*$B$5/12)</f>
        <v/>
      </c>
      <c r="E250" s="14">
        <f>IF(A250="","",C250-D250)</f>
        <v/>
      </c>
      <c r="F250" s="14">
        <f>IF(A250="","",MAX(0,F249-E250))</f>
        <v/>
      </c>
    </row>
    <row r="251">
      <c r="A251" s="12">
        <f>IF(A250="","",IF(238&gt;$B$6*12,"",238))</f>
        <v/>
      </c>
      <c r="B251" s="13">
        <f>IF(A251="","",DATE(YEAR($B$7),MONTH($B$7)+A251-1,1))</f>
        <v/>
      </c>
      <c r="C251" s="14">
        <f>IF(A251="","",$B$9)</f>
        <v/>
      </c>
      <c r="D251" s="14">
        <f>IF(A251="","",F250*$B$5/12)</f>
        <v/>
      </c>
      <c r="E251" s="14">
        <f>IF(A251="","",C251-D251)</f>
        <v/>
      </c>
      <c r="F251" s="14">
        <f>IF(A251="","",MAX(0,F250-E251))</f>
        <v/>
      </c>
    </row>
    <row r="252">
      <c r="A252" s="12">
        <f>IF(A251="","",IF(239&gt;$B$6*12,"",239))</f>
        <v/>
      </c>
      <c r="B252" s="13">
        <f>IF(A252="","",DATE(YEAR($B$7),MONTH($B$7)+A252-1,1))</f>
        <v/>
      </c>
      <c r="C252" s="14">
        <f>IF(A252="","",$B$9)</f>
        <v/>
      </c>
      <c r="D252" s="14">
        <f>IF(A252="","",F251*$B$5/12)</f>
        <v/>
      </c>
      <c r="E252" s="14">
        <f>IF(A252="","",C252-D252)</f>
        <v/>
      </c>
      <c r="F252" s="14">
        <f>IF(A252="","",MAX(0,F251-E252))</f>
        <v/>
      </c>
    </row>
    <row r="253">
      <c r="A253" s="12">
        <f>IF(A252="","",IF(240&gt;$B$6*12,"",240))</f>
        <v/>
      </c>
      <c r="B253" s="13">
        <f>IF(A253="","",DATE(YEAR($B$7),MONTH($B$7)+A253-1,1))</f>
        <v/>
      </c>
      <c r="C253" s="14">
        <f>IF(A253="","",$B$9)</f>
        <v/>
      </c>
      <c r="D253" s="14">
        <f>IF(A253="","",F252*$B$5/12)</f>
        <v/>
      </c>
      <c r="E253" s="14">
        <f>IF(A253="","",C253-D253)</f>
        <v/>
      </c>
      <c r="F253" s="14">
        <f>IF(A253="","",MAX(0,F252-E253))</f>
        <v/>
      </c>
    </row>
    <row r="254">
      <c r="A254" s="12">
        <f>IF(A253="","",IF(241&gt;$B$6*12,"",241))</f>
        <v/>
      </c>
      <c r="B254" s="13">
        <f>IF(A254="","",DATE(YEAR($B$7),MONTH($B$7)+A254-1,1))</f>
        <v/>
      </c>
      <c r="C254" s="14">
        <f>IF(A254="","",$B$9)</f>
        <v/>
      </c>
      <c r="D254" s="14">
        <f>IF(A254="","",F253*$B$5/12)</f>
        <v/>
      </c>
      <c r="E254" s="14">
        <f>IF(A254="","",C254-D254)</f>
        <v/>
      </c>
      <c r="F254" s="14">
        <f>IF(A254="","",MAX(0,F253-E254))</f>
        <v/>
      </c>
    </row>
    <row r="255">
      <c r="A255" s="12">
        <f>IF(A254="","",IF(242&gt;$B$6*12,"",242))</f>
        <v/>
      </c>
      <c r="B255" s="13">
        <f>IF(A255="","",DATE(YEAR($B$7),MONTH($B$7)+A255-1,1))</f>
        <v/>
      </c>
      <c r="C255" s="14">
        <f>IF(A255="","",$B$9)</f>
        <v/>
      </c>
      <c r="D255" s="14">
        <f>IF(A255="","",F254*$B$5/12)</f>
        <v/>
      </c>
      <c r="E255" s="14">
        <f>IF(A255="","",C255-D255)</f>
        <v/>
      </c>
      <c r="F255" s="14">
        <f>IF(A255="","",MAX(0,F254-E255))</f>
        <v/>
      </c>
    </row>
    <row r="256">
      <c r="A256" s="12">
        <f>IF(A255="","",IF(243&gt;$B$6*12,"",243))</f>
        <v/>
      </c>
      <c r="B256" s="13">
        <f>IF(A256="","",DATE(YEAR($B$7),MONTH($B$7)+A256-1,1))</f>
        <v/>
      </c>
      <c r="C256" s="14">
        <f>IF(A256="","",$B$9)</f>
        <v/>
      </c>
      <c r="D256" s="14">
        <f>IF(A256="","",F255*$B$5/12)</f>
        <v/>
      </c>
      <c r="E256" s="14">
        <f>IF(A256="","",C256-D256)</f>
        <v/>
      </c>
      <c r="F256" s="14">
        <f>IF(A256="","",MAX(0,F255-E256))</f>
        <v/>
      </c>
    </row>
    <row r="257">
      <c r="A257" s="12">
        <f>IF(A256="","",IF(244&gt;$B$6*12,"",244))</f>
        <v/>
      </c>
      <c r="B257" s="13">
        <f>IF(A257="","",DATE(YEAR($B$7),MONTH($B$7)+A257-1,1))</f>
        <v/>
      </c>
      <c r="C257" s="14">
        <f>IF(A257="","",$B$9)</f>
        <v/>
      </c>
      <c r="D257" s="14">
        <f>IF(A257="","",F256*$B$5/12)</f>
        <v/>
      </c>
      <c r="E257" s="14">
        <f>IF(A257="","",C257-D257)</f>
        <v/>
      </c>
      <c r="F257" s="14">
        <f>IF(A257="","",MAX(0,F256-E257))</f>
        <v/>
      </c>
    </row>
    <row r="258">
      <c r="A258" s="12">
        <f>IF(A257="","",IF(245&gt;$B$6*12,"",245))</f>
        <v/>
      </c>
      <c r="B258" s="13">
        <f>IF(A258="","",DATE(YEAR($B$7),MONTH($B$7)+A258-1,1))</f>
        <v/>
      </c>
      <c r="C258" s="14">
        <f>IF(A258="","",$B$9)</f>
        <v/>
      </c>
      <c r="D258" s="14">
        <f>IF(A258="","",F257*$B$5/12)</f>
        <v/>
      </c>
      <c r="E258" s="14">
        <f>IF(A258="","",C258-D258)</f>
        <v/>
      </c>
      <c r="F258" s="14">
        <f>IF(A258="","",MAX(0,F257-E258))</f>
        <v/>
      </c>
    </row>
    <row r="259">
      <c r="A259" s="12">
        <f>IF(A258="","",IF(246&gt;$B$6*12,"",246))</f>
        <v/>
      </c>
      <c r="B259" s="13">
        <f>IF(A259="","",DATE(YEAR($B$7),MONTH($B$7)+A259-1,1))</f>
        <v/>
      </c>
      <c r="C259" s="14">
        <f>IF(A259="","",$B$9)</f>
        <v/>
      </c>
      <c r="D259" s="14">
        <f>IF(A259="","",F258*$B$5/12)</f>
        <v/>
      </c>
      <c r="E259" s="14">
        <f>IF(A259="","",C259-D259)</f>
        <v/>
      </c>
      <c r="F259" s="14">
        <f>IF(A259="","",MAX(0,F258-E259))</f>
        <v/>
      </c>
    </row>
    <row r="260">
      <c r="A260" s="12">
        <f>IF(A259="","",IF(247&gt;$B$6*12,"",247))</f>
        <v/>
      </c>
      <c r="B260" s="13">
        <f>IF(A260="","",DATE(YEAR($B$7),MONTH($B$7)+A260-1,1))</f>
        <v/>
      </c>
      <c r="C260" s="14">
        <f>IF(A260="","",$B$9)</f>
        <v/>
      </c>
      <c r="D260" s="14">
        <f>IF(A260="","",F259*$B$5/12)</f>
        <v/>
      </c>
      <c r="E260" s="14">
        <f>IF(A260="","",C260-D260)</f>
        <v/>
      </c>
      <c r="F260" s="14">
        <f>IF(A260="","",MAX(0,F259-E260))</f>
        <v/>
      </c>
    </row>
    <row r="261">
      <c r="A261" s="12">
        <f>IF(A260="","",IF(248&gt;$B$6*12,"",248))</f>
        <v/>
      </c>
      <c r="B261" s="13">
        <f>IF(A261="","",DATE(YEAR($B$7),MONTH($B$7)+A261-1,1))</f>
        <v/>
      </c>
      <c r="C261" s="14">
        <f>IF(A261="","",$B$9)</f>
        <v/>
      </c>
      <c r="D261" s="14">
        <f>IF(A261="","",F260*$B$5/12)</f>
        <v/>
      </c>
      <c r="E261" s="14">
        <f>IF(A261="","",C261-D261)</f>
        <v/>
      </c>
      <c r="F261" s="14">
        <f>IF(A261="","",MAX(0,F260-E261))</f>
        <v/>
      </c>
    </row>
    <row r="262">
      <c r="A262" s="12">
        <f>IF(A261="","",IF(249&gt;$B$6*12,"",249))</f>
        <v/>
      </c>
      <c r="B262" s="13">
        <f>IF(A262="","",DATE(YEAR($B$7),MONTH($B$7)+A262-1,1))</f>
        <v/>
      </c>
      <c r="C262" s="14">
        <f>IF(A262="","",$B$9)</f>
        <v/>
      </c>
      <c r="D262" s="14">
        <f>IF(A262="","",F261*$B$5/12)</f>
        <v/>
      </c>
      <c r="E262" s="14">
        <f>IF(A262="","",C262-D262)</f>
        <v/>
      </c>
      <c r="F262" s="14">
        <f>IF(A262="","",MAX(0,F261-E262))</f>
        <v/>
      </c>
    </row>
    <row r="263">
      <c r="A263" s="12">
        <f>IF(A262="","",IF(250&gt;$B$6*12,"",250))</f>
        <v/>
      </c>
      <c r="B263" s="13">
        <f>IF(A263="","",DATE(YEAR($B$7),MONTH($B$7)+A263-1,1))</f>
        <v/>
      </c>
      <c r="C263" s="14">
        <f>IF(A263="","",$B$9)</f>
        <v/>
      </c>
      <c r="D263" s="14">
        <f>IF(A263="","",F262*$B$5/12)</f>
        <v/>
      </c>
      <c r="E263" s="14">
        <f>IF(A263="","",C263-D263)</f>
        <v/>
      </c>
      <c r="F263" s="14">
        <f>IF(A263="","",MAX(0,F262-E263))</f>
        <v/>
      </c>
    </row>
    <row r="264">
      <c r="A264" s="12">
        <f>IF(A263="","",IF(251&gt;$B$6*12,"",251))</f>
        <v/>
      </c>
      <c r="B264" s="13">
        <f>IF(A264="","",DATE(YEAR($B$7),MONTH($B$7)+A264-1,1))</f>
        <v/>
      </c>
      <c r="C264" s="14">
        <f>IF(A264="","",$B$9)</f>
        <v/>
      </c>
      <c r="D264" s="14">
        <f>IF(A264="","",F263*$B$5/12)</f>
        <v/>
      </c>
      <c r="E264" s="14">
        <f>IF(A264="","",C264-D264)</f>
        <v/>
      </c>
      <c r="F264" s="14">
        <f>IF(A264="","",MAX(0,F263-E264))</f>
        <v/>
      </c>
    </row>
    <row r="265">
      <c r="A265" s="12">
        <f>IF(A264="","",IF(252&gt;$B$6*12,"",252))</f>
        <v/>
      </c>
      <c r="B265" s="13">
        <f>IF(A265="","",DATE(YEAR($B$7),MONTH($B$7)+A265-1,1))</f>
        <v/>
      </c>
      <c r="C265" s="14">
        <f>IF(A265="","",$B$9)</f>
        <v/>
      </c>
      <c r="D265" s="14">
        <f>IF(A265="","",F264*$B$5/12)</f>
        <v/>
      </c>
      <c r="E265" s="14">
        <f>IF(A265="","",C265-D265)</f>
        <v/>
      </c>
      <c r="F265" s="14">
        <f>IF(A265="","",MAX(0,F264-E265))</f>
        <v/>
      </c>
    </row>
    <row r="266">
      <c r="A266" s="12">
        <f>IF(A265="","",IF(253&gt;$B$6*12,"",253))</f>
        <v/>
      </c>
      <c r="B266" s="13">
        <f>IF(A266="","",DATE(YEAR($B$7),MONTH($B$7)+A266-1,1))</f>
        <v/>
      </c>
      <c r="C266" s="14">
        <f>IF(A266="","",$B$9)</f>
        <v/>
      </c>
      <c r="D266" s="14">
        <f>IF(A266="","",F265*$B$5/12)</f>
        <v/>
      </c>
      <c r="E266" s="14">
        <f>IF(A266="","",C266-D266)</f>
        <v/>
      </c>
      <c r="F266" s="14">
        <f>IF(A266="","",MAX(0,F265-E266))</f>
        <v/>
      </c>
    </row>
    <row r="267">
      <c r="A267" s="12">
        <f>IF(A266="","",IF(254&gt;$B$6*12,"",254))</f>
        <v/>
      </c>
      <c r="B267" s="13">
        <f>IF(A267="","",DATE(YEAR($B$7),MONTH($B$7)+A267-1,1))</f>
        <v/>
      </c>
      <c r="C267" s="14">
        <f>IF(A267="","",$B$9)</f>
        <v/>
      </c>
      <c r="D267" s="14">
        <f>IF(A267="","",F266*$B$5/12)</f>
        <v/>
      </c>
      <c r="E267" s="14">
        <f>IF(A267="","",C267-D267)</f>
        <v/>
      </c>
      <c r="F267" s="14">
        <f>IF(A267="","",MAX(0,F266-E267))</f>
        <v/>
      </c>
    </row>
    <row r="268">
      <c r="A268" s="12">
        <f>IF(A267="","",IF(255&gt;$B$6*12,"",255))</f>
        <v/>
      </c>
      <c r="B268" s="13">
        <f>IF(A268="","",DATE(YEAR($B$7),MONTH($B$7)+A268-1,1))</f>
        <v/>
      </c>
      <c r="C268" s="14">
        <f>IF(A268="","",$B$9)</f>
        <v/>
      </c>
      <c r="D268" s="14">
        <f>IF(A268="","",F267*$B$5/12)</f>
        <v/>
      </c>
      <c r="E268" s="14">
        <f>IF(A268="","",C268-D268)</f>
        <v/>
      </c>
      <c r="F268" s="14">
        <f>IF(A268="","",MAX(0,F267-E268))</f>
        <v/>
      </c>
    </row>
    <row r="269">
      <c r="A269" s="12">
        <f>IF(A268="","",IF(256&gt;$B$6*12,"",256))</f>
        <v/>
      </c>
      <c r="B269" s="13">
        <f>IF(A269="","",DATE(YEAR($B$7),MONTH($B$7)+A269-1,1))</f>
        <v/>
      </c>
      <c r="C269" s="14">
        <f>IF(A269="","",$B$9)</f>
        <v/>
      </c>
      <c r="D269" s="14">
        <f>IF(A269="","",F268*$B$5/12)</f>
        <v/>
      </c>
      <c r="E269" s="14">
        <f>IF(A269="","",C269-D269)</f>
        <v/>
      </c>
      <c r="F269" s="14">
        <f>IF(A269="","",MAX(0,F268-E269))</f>
        <v/>
      </c>
    </row>
    <row r="270">
      <c r="A270" s="12">
        <f>IF(A269="","",IF(257&gt;$B$6*12,"",257))</f>
        <v/>
      </c>
      <c r="B270" s="13">
        <f>IF(A270="","",DATE(YEAR($B$7),MONTH($B$7)+A270-1,1))</f>
        <v/>
      </c>
      <c r="C270" s="14">
        <f>IF(A270="","",$B$9)</f>
        <v/>
      </c>
      <c r="D270" s="14">
        <f>IF(A270="","",F269*$B$5/12)</f>
        <v/>
      </c>
      <c r="E270" s="14">
        <f>IF(A270="","",C270-D270)</f>
        <v/>
      </c>
      <c r="F270" s="14">
        <f>IF(A270="","",MAX(0,F269-E270))</f>
        <v/>
      </c>
    </row>
    <row r="271">
      <c r="A271" s="12">
        <f>IF(A270="","",IF(258&gt;$B$6*12,"",258))</f>
        <v/>
      </c>
      <c r="B271" s="13">
        <f>IF(A271="","",DATE(YEAR($B$7),MONTH($B$7)+A271-1,1))</f>
        <v/>
      </c>
      <c r="C271" s="14">
        <f>IF(A271="","",$B$9)</f>
        <v/>
      </c>
      <c r="D271" s="14">
        <f>IF(A271="","",F270*$B$5/12)</f>
        <v/>
      </c>
      <c r="E271" s="14">
        <f>IF(A271="","",C271-D271)</f>
        <v/>
      </c>
      <c r="F271" s="14">
        <f>IF(A271="","",MAX(0,F270-E271))</f>
        <v/>
      </c>
    </row>
    <row r="272">
      <c r="A272" s="12">
        <f>IF(A271="","",IF(259&gt;$B$6*12,"",259))</f>
        <v/>
      </c>
      <c r="B272" s="13">
        <f>IF(A272="","",DATE(YEAR($B$7),MONTH($B$7)+A272-1,1))</f>
        <v/>
      </c>
      <c r="C272" s="14">
        <f>IF(A272="","",$B$9)</f>
        <v/>
      </c>
      <c r="D272" s="14">
        <f>IF(A272="","",F271*$B$5/12)</f>
        <v/>
      </c>
      <c r="E272" s="14">
        <f>IF(A272="","",C272-D272)</f>
        <v/>
      </c>
      <c r="F272" s="14">
        <f>IF(A272="","",MAX(0,F271-E272))</f>
        <v/>
      </c>
    </row>
    <row r="273">
      <c r="A273" s="12">
        <f>IF(A272="","",IF(260&gt;$B$6*12,"",260))</f>
        <v/>
      </c>
      <c r="B273" s="13">
        <f>IF(A273="","",DATE(YEAR($B$7),MONTH($B$7)+A273-1,1))</f>
        <v/>
      </c>
      <c r="C273" s="14">
        <f>IF(A273="","",$B$9)</f>
        <v/>
      </c>
      <c r="D273" s="14">
        <f>IF(A273="","",F272*$B$5/12)</f>
        <v/>
      </c>
      <c r="E273" s="14">
        <f>IF(A273="","",C273-D273)</f>
        <v/>
      </c>
      <c r="F273" s="14">
        <f>IF(A273="","",MAX(0,F272-E273))</f>
        <v/>
      </c>
    </row>
    <row r="274">
      <c r="A274" s="12">
        <f>IF(A273="","",IF(261&gt;$B$6*12,"",261))</f>
        <v/>
      </c>
      <c r="B274" s="13">
        <f>IF(A274="","",DATE(YEAR($B$7),MONTH($B$7)+A274-1,1))</f>
        <v/>
      </c>
      <c r="C274" s="14">
        <f>IF(A274="","",$B$9)</f>
        <v/>
      </c>
      <c r="D274" s="14">
        <f>IF(A274="","",F273*$B$5/12)</f>
        <v/>
      </c>
      <c r="E274" s="14">
        <f>IF(A274="","",C274-D274)</f>
        <v/>
      </c>
      <c r="F274" s="14">
        <f>IF(A274="","",MAX(0,F273-E274))</f>
        <v/>
      </c>
    </row>
    <row r="275">
      <c r="A275" s="12">
        <f>IF(A274="","",IF(262&gt;$B$6*12,"",262))</f>
        <v/>
      </c>
      <c r="B275" s="13">
        <f>IF(A275="","",DATE(YEAR($B$7),MONTH($B$7)+A275-1,1))</f>
        <v/>
      </c>
      <c r="C275" s="14">
        <f>IF(A275="","",$B$9)</f>
        <v/>
      </c>
      <c r="D275" s="14">
        <f>IF(A275="","",F274*$B$5/12)</f>
        <v/>
      </c>
      <c r="E275" s="14">
        <f>IF(A275="","",C275-D275)</f>
        <v/>
      </c>
      <c r="F275" s="14">
        <f>IF(A275="","",MAX(0,F274-E275))</f>
        <v/>
      </c>
    </row>
    <row r="276">
      <c r="A276" s="12">
        <f>IF(A275="","",IF(263&gt;$B$6*12,"",263))</f>
        <v/>
      </c>
      <c r="B276" s="13">
        <f>IF(A276="","",DATE(YEAR($B$7),MONTH($B$7)+A276-1,1))</f>
        <v/>
      </c>
      <c r="C276" s="14">
        <f>IF(A276="","",$B$9)</f>
        <v/>
      </c>
      <c r="D276" s="14">
        <f>IF(A276="","",F275*$B$5/12)</f>
        <v/>
      </c>
      <c r="E276" s="14">
        <f>IF(A276="","",C276-D276)</f>
        <v/>
      </c>
      <c r="F276" s="14">
        <f>IF(A276="","",MAX(0,F275-E276))</f>
        <v/>
      </c>
    </row>
    <row r="277">
      <c r="A277" s="12">
        <f>IF(A276="","",IF(264&gt;$B$6*12,"",264))</f>
        <v/>
      </c>
      <c r="B277" s="13">
        <f>IF(A277="","",DATE(YEAR($B$7),MONTH($B$7)+A277-1,1))</f>
        <v/>
      </c>
      <c r="C277" s="14">
        <f>IF(A277="","",$B$9)</f>
        <v/>
      </c>
      <c r="D277" s="14">
        <f>IF(A277="","",F276*$B$5/12)</f>
        <v/>
      </c>
      <c r="E277" s="14">
        <f>IF(A277="","",C277-D277)</f>
        <v/>
      </c>
      <c r="F277" s="14">
        <f>IF(A277="","",MAX(0,F276-E277))</f>
        <v/>
      </c>
    </row>
    <row r="278">
      <c r="A278" s="12">
        <f>IF(A277="","",IF(265&gt;$B$6*12,"",265))</f>
        <v/>
      </c>
      <c r="B278" s="13">
        <f>IF(A278="","",DATE(YEAR($B$7),MONTH($B$7)+A278-1,1))</f>
        <v/>
      </c>
      <c r="C278" s="14">
        <f>IF(A278="","",$B$9)</f>
        <v/>
      </c>
      <c r="D278" s="14">
        <f>IF(A278="","",F277*$B$5/12)</f>
        <v/>
      </c>
      <c r="E278" s="14">
        <f>IF(A278="","",C278-D278)</f>
        <v/>
      </c>
      <c r="F278" s="14">
        <f>IF(A278="","",MAX(0,F277-E278))</f>
        <v/>
      </c>
    </row>
    <row r="279">
      <c r="A279" s="12">
        <f>IF(A278="","",IF(266&gt;$B$6*12,"",266))</f>
        <v/>
      </c>
      <c r="B279" s="13">
        <f>IF(A279="","",DATE(YEAR($B$7),MONTH($B$7)+A279-1,1))</f>
        <v/>
      </c>
      <c r="C279" s="14">
        <f>IF(A279="","",$B$9)</f>
        <v/>
      </c>
      <c r="D279" s="14">
        <f>IF(A279="","",F278*$B$5/12)</f>
        <v/>
      </c>
      <c r="E279" s="14">
        <f>IF(A279="","",C279-D279)</f>
        <v/>
      </c>
      <c r="F279" s="14">
        <f>IF(A279="","",MAX(0,F278-E279))</f>
        <v/>
      </c>
    </row>
    <row r="280">
      <c r="A280" s="12">
        <f>IF(A279="","",IF(267&gt;$B$6*12,"",267))</f>
        <v/>
      </c>
      <c r="B280" s="13">
        <f>IF(A280="","",DATE(YEAR($B$7),MONTH($B$7)+A280-1,1))</f>
        <v/>
      </c>
      <c r="C280" s="14">
        <f>IF(A280="","",$B$9)</f>
        <v/>
      </c>
      <c r="D280" s="14">
        <f>IF(A280="","",F279*$B$5/12)</f>
        <v/>
      </c>
      <c r="E280" s="14">
        <f>IF(A280="","",C280-D280)</f>
        <v/>
      </c>
      <c r="F280" s="14">
        <f>IF(A280="","",MAX(0,F279-E280))</f>
        <v/>
      </c>
    </row>
    <row r="281">
      <c r="A281" s="12">
        <f>IF(A280="","",IF(268&gt;$B$6*12,"",268))</f>
        <v/>
      </c>
      <c r="B281" s="13">
        <f>IF(A281="","",DATE(YEAR($B$7),MONTH($B$7)+A281-1,1))</f>
        <v/>
      </c>
      <c r="C281" s="14">
        <f>IF(A281="","",$B$9)</f>
        <v/>
      </c>
      <c r="D281" s="14">
        <f>IF(A281="","",F280*$B$5/12)</f>
        <v/>
      </c>
      <c r="E281" s="14">
        <f>IF(A281="","",C281-D281)</f>
        <v/>
      </c>
      <c r="F281" s="14">
        <f>IF(A281="","",MAX(0,F280-E281))</f>
        <v/>
      </c>
    </row>
    <row r="282">
      <c r="A282" s="12">
        <f>IF(A281="","",IF(269&gt;$B$6*12,"",269))</f>
        <v/>
      </c>
      <c r="B282" s="13">
        <f>IF(A282="","",DATE(YEAR($B$7),MONTH($B$7)+A282-1,1))</f>
        <v/>
      </c>
      <c r="C282" s="14">
        <f>IF(A282="","",$B$9)</f>
        <v/>
      </c>
      <c r="D282" s="14">
        <f>IF(A282="","",F281*$B$5/12)</f>
        <v/>
      </c>
      <c r="E282" s="14">
        <f>IF(A282="","",C282-D282)</f>
        <v/>
      </c>
      <c r="F282" s="14">
        <f>IF(A282="","",MAX(0,F281-E282))</f>
        <v/>
      </c>
    </row>
    <row r="283">
      <c r="A283" s="12">
        <f>IF(A282="","",IF(270&gt;$B$6*12,"",270))</f>
        <v/>
      </c>
      <c r="B283" s="13">
        <f>IF(A283="","",DATE(YEAR($B$7),MONTH($B$7)+A283-1,1))</f>
        <v/>
      </c>
      <c r="C283" s="14">
        <f>IF(A283="","",$B$9)</f>
        <v/>
      </c>
      <c r="D283" s="14">
        <f>IF(A283="","",F282*$B$5/12)</f>
        <v/>
      </c>
      <c r="E283" s="14">
        <f>IF(A283="","",C283-D283)</f>
        <v/>
      </c>
      <c r="F283" s="14">
        <f>IF(A283="","",MAX(0,F282-E283))</f>
        <v/>
      </c>
    </row>
    <row r="284">
      <c r="A284" s="12">
        <f>IF(A283="","",IF(271&gt;$B$6*12,"",271))</f>
        <v/>
      </c>
      <c r="B284" s="13">
        <f>IF(A284="","",DATE(YEAR($B$7),MONTH($B$7)+A284-1,1))</f>
        <v/>
      </c>
      <c r="C284" s="14">
        <f>IF(A284="","",$B$9)</f>
        <v/>
      </c>
      <c r="D284" s="14">
        <f>IF(A284="","",F283*$B$5/12)</f>
        <v/>
      </c>
      <c r="E284" s="14">
        <f>IF(A284="","",C284-D284)</f>
        <v/>
      </c>
      <c r="F284" s="14">
        <f>IF(A284="","",MAX(0,F283-E284))</f>
        <v/>
      </c>
    </row>
    <row r="285">
      <c r="A285" s="12">
        <f>IF(A284="","",IF(272&gt;$B$6*12,"",272))</f>
        <v/>
      </c>
      <c r="B285" s="13">
        <f>IF(A285="","",DATE(YEAR($B$7),MONTH($B$7)+A285-1,1))</f>
        <v/>
      </c>
      <c r="C285" s="14">
        <f>IF(A285="","",$B$9)</f>
        <v/>
      </c>
      <c r="D285" s="14">
        <f>IF(A285="","",F284*$B$5/12)</f>
        <v/>
      </c>
      <c r="E285" s="14">
        <f>IF(A285="","",C285-D285)</f>
        <v/>
      </c>
      <c r="F285" s="14">
        <f>IF(A285="","",MAX(0,F284-E285))</f>
        <v/>
      </c>
    </row>
    <row r="286">
      <c r="A286" s="12">
        <f>IF(A285="","",IF(273&gt;$B$6*12,"",273))</f>
        <v/>
      </c>
      <c r="B286" s="13">
        <f>IF(A286="","",DATE(YEAR($B$7),MONTH($B$7)+A286-1,1))</f>
        <v/>
      </c>
      <c r="C286" s="14">
        <f>IF(A286="","",$B$9)</f>
        <v/>
      </c>
      <c r="D286" s="14">
        <f>IF(A286="","",F285*$B$5/12)</f>
        <v/>
      </c>
      <c r="E286" s="14">
        <f>IF(A286="","",C286-D286)</f>
        <v/>
      </c>
      <c r="F286" s="14">
        <f>IF(A286="","",MAX(0,F285-E286))</f>
        <v/>
      </c>
    </row>
    <row r="287">
      <c r="A287" s="12">
        <f>IF(A286="","",IF(274&gt;$B$6*12,"",274))</f>
        <v/>
      </c>
      <c r="B287" s="13">
        <f>IF(A287="","",DATE(YEAR($B$7),MONTH($B$7)+A287-1,1))</f>
        <v/>
      </c>
      <c r="C287" s="14">
        <f>IF(A287="","",$B$9)</f>
        <v/>
      </c>
      <c r="D287" s="14">
        <f>IF(A287="","",F286*$B$5/12)</f>
        <v/>
      </c>
      <c r="E287" s="14">
        <f>IF(A287="","",C287-D287)</f>
        <v/>
      </c>
      <c r="F287" s="14">
        <f>IF(A287="","",MAX(0,F286-E287))</f>
        <v/>
      </c>
    </row>
    <row r="288">
      <c r="A288" s="12">
        <f>IF(A287="","",IF(275&gt;$B$6*12,"",275))</f>
        <v/>
      </c>
      <c r="B288" s="13">
        <f>IF(A288="","",DATE(YEAR($B$7),MONTH($B$7)+A288-1,1))</f>
        <v/>
      </c>
      <c r="C288" s="14">
        <f>IF(A288="","",$B$9)</f>
        <v/>
      </c>
      <c r="D288" s="14">
        <f>IF(A288="","",F287*$B$5/12)</f>
        <v/>
      </c>
      <c r="E288" s="14">
        <f>IF(A288="","",C288-D288)</f>
        <v/>
      </c>
      <c r="F288" s="14">
        <f>IF(A288="","",MAX(0,F287-E288))</f>
        <v/>
      </c>
    </row>
    <row r="289">
      <c r="A289" s="12">
        <f>IF(A288="","",IF(276&gt;$B$6*12,"",276))</f>
        <v/>
      </c>
      <c r="B289" s="13">
        <f>IF(A289="","",DATE(YEAR($B$7),MONTH($B$7)+A289-1,1))</f>
        <v/>
      </c>
      <c r="C289" s="14">
        <f>IF(A289="","",$B$9)</f>
        <v/>
      </c>
      <c r="D289" s="14">
        <f>IF(A289="","",F288*$B$5/12)</f>
        <v/>
      </c>
      <c r="E289" s="14">
        <f>IF(A289="","",C289-D289)</f>
        <v/>
      </c>
      <c r="F289" s="14">
        <f>IF(A289="","",MAX(0,F288-E289))</f>
        <v/>
      </c>
    </row>
    <row r="290">
      <c r="A290" s="12">
        <f>IF(A289="","",IF(277&gt;$B$6*12,"",277))</f>
        <v/>
      </c>
      <c r="B290" s="13">
        <f>IF(A290="","",DATE(YEAR($B$7),MONTH($B$7)+A290-1,1))</f>
        <v/>
      </c>
      <c r="C290" s="14">
        <f>IF(A290="","",$B$9)</f>
        <v/>
      </c>
      <c r="D290" s="14">
        <f>IF(A290="","",F289*$B$5/12)</f>
        <v/>
      </c>
      <c r="E290" s="14">
        <f>IF(A290="","",C290-D290)</f>
        <v/>
      </c>
      <c r="F290" s="14">
        <f>IF(A290="","",MAX(0,F289-E290))</f>
        <v/>
      </c>
    </row>
    <row r="291">
      <c r="A291" s="12">
        <f>IF(A290="","",IF(278&gt;$B$6*12,"",278))</f>
        <v/>
      </c>
      <c r="B291" s="13">
        <f>IF(A291="","",DATE(YEAR($B$7),MONTH($B$7)+A291-1,1))</f>
        <v/>
      </c>
      <c r="C291" s="14">
        <f>IF(A291="","",$B$9)</f>
        <v/>
      </c>
      <c r="D291" s="14">
        <f>IF(A291="","",F290*$B$5/12)</f>
        <v/>
      </c>
      <c r="E291" s="14">
        <f>IF(A291="","",C291-D291)</f>
        <v/>
      </c>
      <c r="F291" s="14">
        <f>IF(A291="","",MAX(0,F290-E291))</f>
        <v/>
      </c>
    </row>
    <row r="292">
      <c r="A292" s="12">
        <f>IF(A291="","",IF(279&gt;$B$6*12,"",279))</f>
        <v/>
      </c>
      <c r="B292" s="13">
        <f>IF(A292="","",DATE(YEAR($B$7),MONTH($B$7)+A292-1,1))</f>
        <v/>
      </c>
      <c r="C292" s="14">
        <f>IF(A292="","",$B$9)</f>
        <v/>
      </c>
      <c r="D292" s="14">
        <f>IF(A292="","",F291*$B$5/12)</f>
        <v/>
      </c>
      <c r="E292" s="14">
        <f>IF(A292="","",C292-D292)</f>
        <v/>
      </c>
      <c r="F292" s="14">
        <f>IF(A292="","",MAX(0,F291-E292))</f>
        <v/>
      </c>
    </row>
    <row r="293">
      <c r="A293" s="12">
        <f>IF(A292="","",IF(280&gt;$B$6*12,"",280))</f>
        <v/>
      </c>
      <c r="B293" s="13">
        <f>IF(A293="","",DATE(YEAR($B$7),MONTH($B$7)+A293-1,1))</f>
        <v/>
      </c>
      <c r="C293" s="14">
        <f>IF(A293="","",$B$9)</f>
        <v/>
      </c>
      <c r="D293" s="14">
        <f>IF(A293="","",F292*$B$5/12)</f>
        <v/>
      </c>
      <c r="E293" s="14">
        <f>IF(A293="","",C293-D293)</f>
        <v/>
      </c>
      <c r="F293" s="14">
        <f>IF(A293="","",MAX(0,F292-E293))</f>
        <v/>
      </c>
    </row>
    <row r="294">
      <c r="A294" s="12">
        <f>IF(A293="","",IF(281&gt;$B$6*12,"",281))</f>
        <v/>
      </c>
      <c r="B294" s="13">
        <f>IF(A294="","",DATE(YEAR($B$7),MONTH($B$7)+A294-1,1))</f>
        <v/>
      </c>
      <c r="C294" s="14">
        <f>IF(A294="","",$B$9)</f>
        <v/>
      </c>
      <c r="D294" s="14">
        <f>IF(A294="","",F293*$B$5/12)</f>
        <v/>
      </c>
      <c r="E294" s="14">
        <f>IF(A294="","",C294-D294)</f>
        <v/>
      </c>
      <c r="F294" s="14">
        <f>IF(A294="","",MAX(0,F293-E294))</f>
        <v/>
      </c>
    </row>
    <row r="295">
      <c r="A295" s="12">
        <f>IF(A294="","",IF(282&gt;$B$6*12,"",282))</f>
        <v/>
      </c>
      <c r="B295" s="13">
        <f>IF(A295="","",DATE(YEAR($B$7),MONTH($B$7)+A295-1,1))</f>
        <v/>
      </c>
      <c r="C295" s="14">
        <f>IF(A295="","",$B$9)</f>
        <v/>
      </c>
      <c r="D295" s="14">
        <f>IF(A295="","",F294*$B$5/12)</f>
        <v/>
      </c>
      <c r="E295" s="14">
        <f>IF(A295="","",C295-D295)</f>
        <v/>
      </c>
      <c r="F295" s="14">
        <f>IF(A295="","",MAX(0,F294-E295))</f>
        <v/>
      </c>
    </row>
    <row r="296">
      <c r="A296" s="12">
        <f>IF(A295="","",IF(283&gt;$B$6*12,"",283))</f>
        <v/>
      </c>
      <c r="B296" s="13">
        <f>IF(A296="","",DATE(YEAR($B$7),MONTH($B$7)+A296-1,1))</f>
        <v/>
      </c>
      <c r="C296" s="14">
        <f>IF(A296="","",$B$9)</f>
        <v/>
      </c>
      <c r="D296" s="14">
        <f>IF(A296="","",F295*$B$5/12)</f>
        <v/>
      </c>
      <c r="E296" s="14">
        <f>IF(A296="","",C296-D296)</f>
        <v/>
      </c>
      <c r="F296" s="14">
        <f>IF(A296="","",MAX(0,F295-E296))</f>
        <v/>
      </c>
    </row>
    <row r="297">
      <c r="A297" s="12">
        <f>IF(A296="","",IF(284&gt;$B$6*12,"",284))</f>
        <v/>
      </c>
      <c r="B297" s="13">
        <f>IF(A297="","",DATE(YEAR($B$7),MONTH($B$7)+A297-1,1))</f>
        <v/>
      </c>
      <c r="C297" s="14">
        <f>IF(A297="","",$B$9)</f>
        <v/>
      </c>
      <c r="D297" s="14">
        <f>IF(A297="","",F296*$B$5/12)</f>
        <v/>
      </c>
      <c r="E297" s="14">
        <f>IF(A297="","",C297-D297)</f>
        <v/>
      </c>
      <c r="F297" s="14">
        <f>IF(A297="","",MAX(0,F296-E297))</f>
        <v/>
      </c>
    </row>
    <row r="298">
      <c r="A298" s="12">
        <f>IF(A297="","",IF(285&gt;$B$6*12,"",285))</f>
        <v/>
      </c>
      <c r="B298" s="13">
        <f>IF(A298="","",DATE(YEAR($B$7),MONTH($B$7)+A298-1,1))</f>
        <v/>
      </c>
      <c r="C298" s="14">
        <f>IF(A298="","",$B$9)</f>
        <v/>
      </c>
      <c r="D298" s="14">
        <f>IF(A298="","",F297*$B$5/12)</f>
        <v/>
      </c>
      <c r="E298" s="14">
        <f>IF(A298="","",C298-D298)</f>
        <v/>
      </c>
      <c r="F298" s="14">
        <f>IF(A298="","",MAX(0,F297-E298))</f>
        <v/>
      </c>
    </row>
    <row r="299">
      <c r="A299" s="12">
        <f>IF(A298="","",IF(286&gt;$B$6*12,"",286))</f>
        <v/>
      </c>
      <c r="B299" s="13">
        <f>IF(A299="","",DATE(YEAR($B$7),MONTH($B$7)+A299-1,1))</f>
        <v/>
      </c>
      <c r="C299" s="14">
        <f>IF(A299="","",$B$9)</f>
        <v/>
      </c>
      <c r="D299" s="14">
        <f>IF(A299="","",F298*$B$5/12)</f>
        <v/>
      </c>
      <c r="E299" s="14">
        <f>IF(A299="","",C299-D299)</f>
        <v/>
      </c>
      <c r="F299" s="14">
        <f>IF(A299="","",MAX(0,F298-E299))</f>
        <v/>
      </c>
    </row>
    <row r="300">
      <c r="A300" s="12">
        <f>IF(A299="","",IF(287&gt;$B$6*12,"",287))</f>
        <v/>
      </c>
      <c r="B300" s="13">
        <f>IF(A300="","",DATE(YEAR($B$7),MONTH($B$7)+A300-1,1))</f>
        <v/>
      </c>
      <c r="C300" s="14">
        <f>IF(A300="","",$B$9)</f>
        <v/>
      </c>
      <c r="D300" s="14">
        <f>IF(A300="","",F299*$B$5/12)</f>
        <v/>
      </c>
      <c r="E300" s="14">
        <f>IF(A300="","",C300-D300)</f>
        <v/>
      </c>
      <c r="F300" s="14">
        <f>IF(A300="","",MAX(0,F299-E300))</f>
        <v/>
      </c>
    </row>
    <row r="301">
      <c r="A301" s="12">
        <f>IF(A300="","",IF(288&gt;$B$6*12,"",288))</f>
        <v/>
      </c>
      <c r="B301" s="13">
        <f>IF(A301="","",DATE(YEAR($B$7),MONTH($B$7)+A301-1,1))</f>
        <v/>
      </c>
      <c r="C301" s="14">
        <f>IF(A301="","",$B$9)</f>
        <v/>
      </c>
      <c r="D301" s="14">
        <f>IF(A301="","",F300*$B$5/12)</f>
        <v/>
      </c>
      <c r="E301" s="14">
        <f>IF(A301="","",C301-D301)</f>
        <v/>
      </c>
      <c r="F301" s="14">
        <f>IF(A301="","",MAX(0,F300-E301))</f>
        <v/>
      </c>
    </row>
    <row r="302">
      <c r="A302" s="12">
        <f>IF(A301="","",IF(289&gt;$B$6*12,"",289))</f>
        <v/>
      </c>
      <c r="B302" s="13">
        <f>IF(A302="","",DATE(YEAR($B$7),MONTH($B$7)+A302-1,1))</f>
        <v/>
      </c>
      <c r="C302" s="14">
        <f>IF(A302="","",$B$9)</f>
        <v/>
      </c>
      <c r="D302" s="14">
        <f>IF(A302="","",F301*$B$5/12)</f>
        <v/>
      </c>
      <c r="E302" s="14">
        <f>IF(A302="","",C302-D302)</f>
        <v/>
      </c>
      <c r="F302" s="14">
        <f>IF(A302="","",MAX(0,F301-E302))</f>
        <v/>
      </c>
    </row>
    <row r="303">
      <c r="A303" s="12">
        <f>IF(A302="","",IF(290&gt;$B$6*12,"",290))</f>
        <v/>
      </c>
      <c r="B303" s="13">
        <f>IF(A303="","",DATE(YEAR($B$7),MONTH($B$7)+A303-1,1))</f>
        <v/>
      </c>
      <c r="C303" s="14">
        <f>IF(A303="","",$B$9)</f>
        <v/>
      </c>
      <c r="D303" s="14">
        <f>IF(A303="","",F302*$B$5/12)</f>
        <v/>
      </c>
      <c r="E303" s="14">
        <f>IF(A303="","",C303-D303)</f>
        <v/>
      </c>
      <c r="F303" s="14">
        <f>IF(A303="","",MAX(0,F302-E303))</f>
        <v/>
      </c>
    </row>
    <row r="304">
      <c r="A304" s="12">
        <f>IF(A303="","",IF(291&gt;$B$6*12,"",291))</f>
        <v/>
      </c>
      <c r="B304" s="13">
        <f>IF(A304="","",DATE(YEAR($B$7),MONTH($B$7)+A304-1,1))</f>
        <v/>
      </c>
      <c r="C304" s="14">
        <f>IF(A304="","",$B$9)</f>
        <v/>
      </c>
      <c r="D304" s="14">
        <f>IF(A304="","",F303*$B$5/12)</f>
        <v/>
      </c>
      <c r="E304" s="14">
        <f>IF(A304="","",C304-D304)</f>
        <v/>
      </c>
      <c r="F304" s="14">
        <f>IF(A304="","",MAX(0,F303-E304))</f>
        <v/>
      </c>
    </row>
    <row r="305">
      <c r="A305" s="12">
        <f>IF(A304="","",IF(292&gt;$B$6*12,"",292))</f>
        <v/>
      </c>
      <c r="B305" s="13">
        <f>IF(A305="","",DATE(YEAR($B$7),MONTH($B$7)+A305-1,1))</f>
        <v/>
      </c>
      <c r="C305" s="14">
        <f>IF(A305="","",$B$9)</f>
        <v/>
      </c>
      <c r="D305" s="14">
        <f>IF(A305="","",F304*$B$5/12)</f>
        <v/>
      </c>
      <c r="E305" s="14">
        <f>IF(A305="","",C305-D305)</f>
        <v/>
      </c>
      <c r="F305" s="14">
        <f>IF(A305="","",MAX(0,F304-E305))</f>
        <v/>
      </c>
    </row>
    <row r="306">
      <c r="A306" s="12">
        <f>IF(A305="","",IF(293&gt;$B$6*12,"",293))</f>
        <v/>
      </c>
      <c r="B306" s="13">
        <f>IF(A306="","",DATE(YEAR($B$7),MONTH($B$7)+A306-1,1))</f>
        <v/>
      </c>
      <c r="C306" s="14">
        <f>IF(A306="","",$B$9)</f>
        <v/>
      </c>
      <c r="D306" s="14">
        <f>IF(A306="","",F305*$B$5/12)</f>
        <v/>
      </c>
      <c r="E306" s="14">
        <f>IF(A306="","",C306-D306)</f>
        <v/>
      </c>
      <c r="F306" s="14">
        <f>IF(A306="","",MAX(0,F305-E306))</f>
        <v/>
      </c>
    </row>
    <row r="307">
      <c r="A307" s="12">
        <f>IF(A306="","",IF(294&gt;$B$6*12,"",294))</f>
        <v/>
      </c>
      <c r="B307" s="13">
        <f>IF(A307="","",DATE(YEAR($B$7),MONTH($B$7)+A307-1,1))</f>
        <v/>
      </c>
      <c r="C307" s="14">
        <f>IF(A307="","",$B$9)</f>
        <v/>
      </c>
      <c r="D307" s="14">
        <f>IF(A307="","",F306*$B$5/12)</f>
        <v/>
      </c>
      <c r="E307" s="14">
        <f>IF(A307="","",C307-D307)</f>
        <v/>
      </c>
      <c r="F307" s="14">
        <f>IF(A307="","",MAX(0,F306-E307))</f>
        <v/>
      </c>
    </row>
    <row r="308">
      <c r="A308" s="12">
        <f>IF(A307="","",IF(295&gt;$B$6*12,"",295))</f>
        <v/>
      </c>
      <c r="B308" s="13">
        <f>IF(A308="","",DATE(YEAR($B$7),MONTH($B$7)+A308-1,1))</f>
        <v/>
      </c>
      <c r="C308" s="14">
        <f>IF(A308="","",$B$9)</f>
        <v/>
      </c>
      <c r="D308" s="14">
        <f>IF(A308="","",F307*$B$5/12)</f>
        <v/>
      </c>
      <c r="E308" s="14">
        <f>IF(A308="","",C308-D308)</f>
        <v/>
      </c>
      <c r="F308" s="14">
        <f>IF(A308="","",MAX(0,F307-E308))</f>
        <v/>
      </c>
    </row>
    <row r="309">
      <c r="A309" s="12">
        <f>IF(A308="","",IF(296&gt;$B$6*12,"",296))</f>
        <v/>
      </c>
      <c r="B309" s="13">
        <f>IF(A309="","",DATE(YEAR($B$7),MONTH($B$7)+A309-1,1))</f>
        <v/>
      </c>
      <c r="C309" s="14">
        <f>IF(A309="","",$B$9)</f>
        <v/>
      </c>
      <c r="D309" s="14">
        <f>IF(A309="","",F308*$B$5/12)</f>
        <v/>
      </c>
      <c r="E309" s="14">
        <f>IF(A309="","",C309-D309)</f>
        <v/>
      </c>
      <c r="F309" s="14">
        <f>IF(A309="","",MAX(0,F308-E309))</f>
        <v/>
      </c>
    </row>
    <row r="310">
      <c r="A310" s="12">
        <f>IF(A309="","",IF(297&gt;$B$6*12,"",297))</f>
        <v/>
      </c>
      <c r="B310" s="13">
        <f>IF(A310="","",DATE(YEAR($B$7),MONTH($B$7)+A310-1,1))</f>
        <v/>
      </c>
      <c r="C310" s="14">
        <f>IF(A310="","",$B$9)</f>
        <v/>
      </c>
      <c r="D310" s="14">
        <f>IF(A310="","",F309*$B$5/12)</f>
        <v/>
      </c>
      <c r="E310" s="14">
        <f>IF(A310="","",C310-D310)</f>
        <v/>
      </c>
      <c r="F310" s="14">
        <f>IF(A310="","",MAX(0,F309-E310))</f>
        <v/>
      </c>
    </row>
    <row r="311">
      <c r="A311" s="12">
        <f>IF(A310="","",IF(298&gt;$B$6*12,"",298))</f>
        <v/>
      </c>
      <c r="B311" s="13">
        <f>IF(A311="","",DATE(YEAR($B$7),MONTH($B$7)+A311-1,1))</f>
        <v/>
      </c>
      <c r="C311" s="14">
        <f>IF(A311="","",$B$9)</f>
        <v/>
      </c>
      <c r="D311" s="14">
        <f>IF(A311="","",F310*$B$5/12)</f>
        <v/>
      </c>
      <c r="E311" s="14">
        <f>IF(A311="","",C311-D311)</f>
        <v/>
      </c>
      <c r="F311" s="14">
        <f>IF(A311="","",MAX(0,F310-E311))</f>
        <v/>
      </c>
    </row>
    <row r="312">
      <c r="A312" s="12">
        <f>IF(A311="","",IF(299&gt;$B$6*12,"",299))</f>
        <v/>
      </c>
      <c r="B312" s="13">
        <f>IF(A312="","",DATE(YEAR($B$7),MONTH($B$7)+A312-1,1))</f>
        <v/>
      </c>
      <c r="C312" s="14">
        <f>IF(A312="","",$B$9)</f>
        <v/>
      </c>
      <c r="D312" s="14">
        <f>IF(A312="","",F311*$B$5/12)</f>
        <v/>
      </c>
      <c r="E312" s="14">
        <f>IF(A312="","",C312-D312)</f>
        <v/>
      </c>
      <c r="F312" s="14">
        <f>IF(A312="","",MAX(0,F311-E312))</f>
        <v/>
      </c>
    </row>
    <row r="313">
      <c r="A313" s="12">
        <f>IF(A312="","",IF(300&gt;$B$6*12,"",300))</f>
        <v/>
      </c>
      <c r="B313" s="13">
        <f>IF(A313="","",DATE(YEAR($B$7),MONTH($B$7)+A313-1,1))</f>
        <v/>
      </c>
      <c r="C313" s="14">
        <f>IF(A313="","",$B$9)</f>
        <v/>
      </c>
      <c r="D313" s="14">
        <f>IF(A313="","",F312*$B$5/12)</f>
        <v/>
      </c>
      <c r="E313" s="14">
        <f>IF(A313="","",C313-D313)</f>
        <v/>
      </c>
      <c r="F313" s="14">
        <f>IF(A313="","",MAX(0,F312-E313))</f>
        <v/>
      </c>
    </row>
    <row r="314">
      <c r="A314" s="12">
        <f>IF(A313="","",IF(301&gt;$B$6*12,"",301))</f>
        <v/>
      </c>
      <c r="B314" s="13">
        <f>IF(A314="","",DATE(YEAR($B$7),MONTH($B$7)+A314-1,1))</f>
        <v/>
      </c>
      <c r="C314" s="14">
        <f>IF(A314="","",$B$9)</f>
        <v/>
      </c>
      <c r="D314" s="14">
        <f>IF(A314="","",F313*$B$5/12)</f>
        <v/>
      </c>
      <c r="E314" s="14">
        <f>IF(A314="","",C314-D314)</f>
        <v/>
      </c>
      <c r="F314" s="14">
        <f>IF(A314="","",MAX(0,F313-E314))</f>
        <v/>
      </c>
    </row>
    <row r="315">
      <c r="A315" s="12">
        <f>IF(A314="","",IF(302&gt;$B$6*12,"",302))</f>
        <v/>
      </c>
      <c r="B315" s="13">
        <f>IF(A315="","",DATE(YEAR($B$7),MONTH($B$7)+A315-1,1))</f>
        <v/>
      </c>
      <c r="C315" s="14">
        <f>IF(A315="","",$B$9)</f>
        <v/>
      </c>
      <c r="D315" s="14">
        <f>IF(A315="","",F314*$B$5/12)</f>
        <v/>
      </c>
      <c r="E315" s="14">
        <f>IF(A315="","",C315-D315)</f>
        <v/>
      </c>
      <c r="F315" s="14">
        <f>IF(A315="","",MAX(0,F314-E315))</f>
        <v/>
      </c>
    </row>
    <row r="316">
      <c r="A316" s="12">
        <f>IF(A315="","",IF(303&gt;$B$6*12,"",303))</f>
        <v/>
      </c>
      <c r="B316" s="13">
        <f>IF(A316="","",DATE(YEAR($B$7),MONTH($B$7)+A316-1,1))</f>
        <v/>
      </c>
      <c r="C316" s="14">
        <f>IF(A316="","",$B$9)</f>
        <v/>
      </c>
      <c r="D316" s="14">
        <f>IF(A316="","",F315*$B$5/12)</f>
        <v/>
      </c>
      <c r="E316" s="14">
        <f>IF(A316="","",C316-D316)</f>
        <v/>
      </c>
      <c r="F316" s="14">
        <f>IF(A316="","",MAX(0,F315-E316))</f>
        <v/>
      </c>
    </row>
    <row r="317">
      <c r="A317" s="12">
        <f>IF(A316="","",IF(304&gt;$B$6*12,"",304))</f>
        <v/>
      </c>
      <c r="B317" s="13">
        <f>IF(A317="","",DATE(YEAR($B$7),MONTH($B$7)+A317-1,1))</f>
        <v/>
      </c>
      <c r="C317" s="14">
        <f>IF(A317="","",$B$9)</f>
        <v/>
      </c>
      <c r="D317" s="14">
        <f>IF(A317="","",F316*$B$5/12)</f>
        <v/>
      </c>
      <c r="E317" s="14">
        <f>IF(A317="","",C317-D317)</f>
        <v/>
      </c>
      <c r="F317" s="14">
        <f>IF(A317="","",MAX(0,F316-E317))</f>
        <v/>
      </c>
    </row>
    <row r="318">
      <c r="A318" s="12">
        <f>IF(A317="","",IF(305&gt;$B$6*12,"",305))</f>
        <v/>
      </c>
      <c r="B318" s="13">
        <f>IF(A318="","",DATE(YEAR($B$7),MONTH($B$7)+A318-1,1))</f>
        <v/>
      </c>
      <c r="C318" s="14">
        <f>IF(A318="","",$B$9)</f>
        <v/>
      </c>
      <c r="D318" s="14">
        <f>IF(A318="","",F317*$B$5/12)</f>
        <v/>
      </c>
      <c r="E318" s="14">
        <f>IF(A318="","",C318-D318)</f>
        <v/>
      </c>
      <c r="F318" s="14">
        <f>IF(A318="","",MAX(0,F317-E318))</f>
        <v/>
      </c>
    </row>
    <row r="319">
      <c r="A319" s="12">
        <f>IF(A318="","",IF(306&gt;$B$6*12,"",306))</f>
        <v/>
      </c>
      <c r="B319" s="13">
        <f>IF(A319="","",DATE(YEAR($B$7),MONTH($B$7)+A319-1,1))</f>
        <v/>
      </c>
      <c r="C319" s="14">
        <f>IF(A319="","",$B$9)</f>
        <v/>
      </c>
      <c r="D319" s="14">
        <f>IF(A319="","",F318*$B$5/12)</f>
        <v/>
      </c>
      <c r="E319" s="14">
        <f>IF(A319="","",C319-D319)</f>
        <v/>
      </c>
      <c r="F319" s="14">
        <f>IF(A319="","",MAX(0,F318-E319))</f>
        <v/>
      </c>
    </row>
    <row r="320">
      <c r="A320" s="12">
        <f>IF(A319="","",IF(307&gt;$B$6*12,"",307))</f>
        <v/>
      </c>
      <c r="B320" s="13">
        <f>IF(A320="","",DATE(YEAR($B$7),MONTH($B$7)+A320-1,1))</f>
        <v/>
      </c>
      <c r="C320" s="14">
        <f>IF(A320="","",$B$9)</f>
        <v/>
      </c>
      <c r="D320" s="14">
        <f>IF(A320="","",F319*$B$5/12)</f>
        <v/>
      </c>
      <c r="E320" s="14">
        <f>IF(A320="","",C320-D320)</f>
        <v/>
      </c>
      <c r="F320" s="14">
        <f>IF(A320="","",MAX(0,F319-E320))</f>
        <v/>
      </c>
    </row>
    <row r="321">
      <c r="A321" s="12">
        <f>IF(A320="","",IF(308&gt;$B$6*12,"",308))</f>
        <v/>
      </c>
      <c r="B321" s="13">
        <f>IF(A321="","",DATE(YEAR($B$7),MONTH($B$7)+A321-1,1))</f>
        <v/>
      </c>
      <c r="C321" s="14">
        <f>IF(A321="","",$B$9)</f>
        <v/>
      </c>
      <c r="D321" s="14">
        <f>IF(A321="","",F320*$B$5/12)</f>
        <v/>
      </c>
      <c r="E321" s="14">
        <f>IF(A321="","",C321-D321)</f>
        <v/>
      </c>
      <c r="F321" s="14">
        <f>IF(A321="","",MAX(0,F320-E321))</f>
        <v/>
      </c>
    </row>
    <row r="322">
      <c r="A322" s="12">
        <f>IF(A321="","",IF(309&gt;$B$6*12,"",309))</f>
        <v/>
      </c>
      <c r="B322" s="13">
        <f>IF(A322="","",DATE(YEAR($B$7),MONTH($B$7)+A322-1,1))</f>
        <v/>
      </c>
      <c r="C322" s="14">
        <f>IF(A322="","",$B$9)</f>
        <v/>
      </c>
      <c r="D322" s="14">
        <f>IF(A322="","",F321*$B$5/12)</f>
        <v/>
      </c>
      <c r="E322" s="14">
        <f>IF(A322="","",C322-D322)</f>
        <v/>
      </c>
      <c r="F322" s="14">
        <f>IF(A322="","",MAX(0,F321-E322))</f>
        <v/>
      </c>
    </row>
    <row r="323">
      <c r="A323" s="12">
        <f>IF(A322="","",IF(310&gt;$B$6*12,"",310))</f>
        <v/>
      </c>
      <c r="B323" s="13">
        <f>IF(A323="","",DATE(YEAR($B$7),MONTH($B$7)+A323-1,1))</f>
        <v/>
      </c>
      <c r="C323" s="14">
        <f>IF(A323="","",$B$9)</f>
        <v/>
      </c>
      <c r="D323" s="14">
        <f>IF(A323="","",F322*$B$5/12)</f>
        <v/>
      </c>
      <c r="E323" s="14">
        <f>IF(A323="","",C323-D323)</f>
        <v/>
      </c>
      <c r="F323" s="14">
        <f>IF(A323="","",MAX(0,F322-E323))</f>
        <v/>
      </c>
    </row>
    <row r="324">
      <c r="A324" s="12">
        <f>IF(A323="","",IF(311&gt;$B$6*12,"",311))</f>
        <v/>
      </c>
      <c r="B324" s="13">
        <f>IF(A324="","",DATE(YEAR($B$7),MONTH($B$7)+A324-1,1))</f>
        <v/>
      </c>
      <c r="C324" s="14">
        <f>IF(A324="","",$B$9)</f>
        <v/>
      </c>
      <c r="D324" s="14">
        <f>IF(A324="","",F323*$B$5/12)</f>
        <v/>
      </c>
      <c r="E324" s="14">
        <f>IF(A324="","",C324-D324)</f>
        <v/>
      </c>
      <c r="F324" s="14">
        <f>IF(A324="","",MAX(0,F323-E324))</f>
        <v/>
      </c>
    </row>
    <row r="325">
      <c r="A325" s="12">
        <f>IF(A324="","",IF(312&gt;$B$6*12,"",312))</f>
        <v/>
      </c>
      <c r="B325" s="13">
        <f>IF(A325="","",DATE(YEAR($B$7),MONTH($B$7)+A325-1,1))</f>
        <v/>
      </c>
      <c r="C325" s="14">
        <f>IF(A325="","",$B$9)</f>
        <v/>
      </c>
      <c r="D325" s="14">
        <f>IF(A325="","",F324*$B$5/12)</f>
        <v/>
      </c>
      <c r="E325" s="14">
        <f>IF(A325="","",C325-D325)</f>
        <v/>
      </c>
      <c r="F325" s="14">
        <f>IF(A325="","",MAX(0,F324-E325))</f>
        <v/>
      </c>
    </row>
    <row r="326">
      <c r="A326" s="12">
        <f>IF(A325="","",IF(313&gt;$B$6*12,"",313))</f>
        <v/>
      </c>
      <c r="B326" s="13">
        <f>IF(A326="","",DATE(YEAR($B$7),MONTH($B$7)+A326-1,1))</f>
        <v/>
      </c>
      <c r="C326" s="14">
        <f>IF(A326="","",$B$9)</f>
        <v/>
      </c>
      <c r="D326" s="14">
        <f>IF(A326="","",F325*$B$5/12)</f>
        <v/>
      </c>
      <c r="E326" s="14">
        <f>IF(A326="","",C326-D326)</f>
        <v/>
      </c>
      <c r="F326" s="14">
        <f>IF(A326="","",MAX(0,F325-E326))</f>
        <v/>
      </c>
    </row>
    <row r="327">
      <c r="A327" s="12">
        <f>IF(A326="","",IF(314&gt;$B$6*12,"",314))</f>
        <v/>
      </c>
      <c r="B327" s="13">
        <f>IF(A327="","",DATE(YEAR($B$7),MONTH($B$7)+A327-1,1))</f>
        <v/>
      </c>
      <c r="C327" s="14">
        <f>IF(A327="","",$B$9)</f>
        <v/>
      </c>
      <c r="D327" s="14">
        <f>IF(A327="","",F326*$B$5/12)</f>
        <v/>
      </c>
      <c r="E327" s="14">
        <f>IF(A327="","",C327-D327)</f>
        <v/>
      </c>
      <c r="F327" s="14">
        <f>IF(A327="","",MAX(0,F326-E327))</f>
        <v/>
      </c>
    </row>
    <row r="328">
      <c r="A328" s="12">
        <f>IF(A327="","",IF(315&gt;$B$6*12,"",315))</f>
        <v/>
      </c>
      <c r="B328" s="13">
        <f>IF(A328="","",DATE(YEAR($B$7),MONTH($B$7)+A328-1,1))</f>
        <v/>
      </c>
      <c r="C328" s="14">
        <f>IF(A328="","",$B$9)</f>
        <v/>
      </c>
      <c r="D328" s="14">
        <f>IF(A328="","",F327*$B$5/12)</f>
        <v/>
      </c>
      <c r="E328" s="14">
        <f>IF(A328="","",C328-D328)</f>
        <v/>
      </c>
      <c r="F328" s="14">
        <f>IF(A328="","",MAX(0,F327-E328))</f>
        <v/>
      </c>
    </row>
    <row r="329">
      <c r="A329" s="12">
        <f>IF(A328="","",IF(316&gt;$B$6*12,"",316))</f>
        <v/>
      </c>
      <c r="B329" s="13">
        <f>IF(A329="","",DATE(YEAR($B$7),MONTH($B$7)+A329-1,1))</f>
        <v/>
      </c>
      <c r="C329" s="14">
        <f>IF(A329="","",$B$9)</f>
        <v/>
      </c>
      <c r="D329" s="14">
        <f>IF(A329="","",F328*$B$5/12)</f>
        <v/>
      </c>
      <c r="E329" s="14">
        <f>IF(A329="","",C329-D329)</f>
        <v/>
      </c>
      <c r="F329" s="14">
        <f>IF(A329="","",MAX(0,F328-E329))</f>
        <v/>
      </c>
    </row>
    <row r="330">
      <c r="A330" s="12">
        <f>IF(A329="","",IF(317&gt;$B$6*12,"",317))</f>
        <v/>
      </c>
      <c r="B330" s="13">
        <f>IF(A330="","",DATE(YEAR($B$7),MONTH($B$7)+A330-1,1))</f>
        <v/>
      </c>
      <c r="C330" s="14">
        <f>IF(A330="","",$B$9)</f>
        <v/>
      </c>
      <c r="D330" s="14">
        <f>IF(A330="","",F329*$B$5/12)</f>
        <v/>
      </c>
      <c r="E330" s="14">
        <f>IF(A330="","",C330-D330)</f>
        <v/>
      </c>
      <c r="F330" s="14">
        <f>IF(A330="","",MAX(0,F329-E330))</f>
        <v/>
      </c>
    </row>
    <row r="331">
      <c r="A331" s="12">
        <f>IF(A330="","",IF(318&gt;$B$6*12,"",318))</f>
        <v/>
      </c>
      <c r="B331" s="13">
        <f>IF(A331="","",DATE(YEAR($B$7),MONTH($B$7)+A331-1,1))</f>
        <v/>
      </c>
      <c r="C331" s="14">
        <f>IF(A331="","",$B$9)</f>
        <v/>
      </c>
      <c r="D331" s="14">
        <f>IF(A331="","",F330*$B$5/12)</f>
        <v/>
      </c>
      <c r="E331" s="14">
        <f>IF(A331="","",C331-D331)</f>
        <v/>
      </c>
      <c r="F331" s="14">
        <f>IF(A331="","",MAX(0,F330-E331))</f>
        <v/>
      </c>
    </row>
    <row r="332">
      <c r="A332" s="12">
        <f>IF(A331="","",IF(319&gt;$B$6*12,"",319))</f>
        <v/>
      </c>
      <c r="B332" s="13">
        <f>IF(A332="","",DATE(YEAR($B$7),MONTH($B$7)+A332-1,1))</f>
        <v/>
      </c>
      <c r="C332" s="14">
        <f>IF(A332="","",$B$9)</f>
        <v/>
      </c>
      <c r="D332" s="14">
        <f>IF(A332="","",F331*$B$5/12)</f>
        <v/>
      </c>
      <c r="E332" s="14">
        <f>IF(A332="","",C332-D332)</f>
        <v/>
      </c>
      <c r="F332" s="14">
        <f>IF(A332="","",MAX(0,F331-E332))</f>
        <v/>
      </c>
    </row>
    <row r="333">
      <c r="A333" s="12">
        <f>IF(A332="","",IF(320&gt;$B$6*12,"",320))</f>
        <v/>
      </c>
      <c r="B333" s="13">
        <f>IF(A333="","",DATE(YEAR($B$7),MONTH($B$7)+A333-1,1))</f>
        <v/>
      </c>
      <c r="C333" s="14">
        <f>IF(A333="","",$B$9)</f>
        <v/>
      </c>
      <c r="D333" s="14">
        <f>IF(A333="","",F332*$B$5/12)</f>
        <v/>
      </c>
      <c r="E333" s="14">
        <f>IF(A333="","",C333-D333)</f>
        <v/>
      </c>
      <c r="F333" s="14">
        <f>IF(A333="","",MAX(0,F332-E333))</f>
        <v/>
      </c>
    </row>
    <row r="334">
      <c r="A334" s="12">
        <f>IF(A333="","",IF(321&gt;$B$6*12,"",321))</f>
        <v/>
      </c>
      <c r="B334" s="13">
        <f>IF(A334="","",DATE(YEAR($B$7),MONTH($B$7)+A334-1,1))</f>
        <v/>
      </c>
      <c r="C334" s="14">
        <f>IF(A334="","",$B$9)</f>
        <v/>
      </c>
      <c r="D334" s="14">
        <f>IF(A334="","",F333*$B$5/12)</f>
        <v/>
      </c>
      <c r="E334" s="14">
        <f>IF(A334="","",C334-D334)</f>
        <v/>
      </c>
      <c r="F334" s="14">
        <f>IF(A334="","",MAX(0,F333-E334))</f>
        <v/>
      </c>
    </row>
    <row r="335">
      <c r="A335" s="12">
        <f>IF(A334="","",IF(322&gt;$B$6*12,"",322))</f>
        <v/>
      </c>
      <c r="B335" s="13">
        <f>IF(A335="","",DATE(YEAR($B$7),MONTH($B$7)+A335-1,1))</f>
        <v/>
      </c>
      <c r="C335" s="14">
        <f>IF(A335="","",$B$9)</f>
        <v/>
      </c>
      <c r="D335" s="14">
        <f>IF(A335="","",F334*$B$5/12)</f>
        <v/>
      </c>
      <c r="E335" s="14">
        <f>IF(A335="","",C335-D335)</f>
        <v/>
      </c>
      <c r="F335" s="14">
        <f>IF(A335="","",MAX(0,F334-E335))</f>
        <v/>
      </c>
    </row>
    <row r="336">
      <c r="A336" s="12">
        <f>IF(A335="","",IF(323&gt;$B$6*12,"",323))</f>
        <v/>
      </c>
      <c r="B336" s="13">
        <f>IF(A336="","",DATE(YEAR($B$7),MONTH($B$7)+A336-1,1))</f>
        <v/>
      </c>
      <c r="C336" s="14">
        <f>IF(A336="","",$B$9)</f>
        <v/>
      </c>
      <c r="D336" s="14">
        <f>IF(A336="","",F335*$B$5/12)</f>
        <v/>
      </c>
      <c r="E336" s="14">
        <f>IF(A336="","",C336-D336)</f>
        <v/>
      </c>
      <c r="F336" s="14">
        <f>IF(A336="","",MAX(0,F335-E336))</f>
        <v/>
      </c>
    </row>
    <row r="337">
      <c r="A337" s="12">
        <f>IF(A336="","",IF(324&gt;$B$6*12,"",324))</f>
        <v/>
      </c>
      <c r="B337" s="13">
        <f>IF(A337="","",DATE(YEAR($B$7),MONTH($B$7)+A337-1,1))</f>
        <v/>
      </c>
      <c r="C337" s="14">
        <f>IF(A337="","",$B$9)</f>
        <v/>
      </c>
      <c r="D337" s="14">
        <f>IF(A337="","",F336*$B$5/12)</f>
        <v/>
      </c>
      <c r="E337" s="14">
        <f>IF(A337="","",C337-D337)</f>
        <v/>
      </c>
      <c r="F337" s="14">
        <f>IF(A337="","",MAX(0,F336-E337))</f>
        <v/>
      </c>
    </row>
    <row r="338">
      <c r="A338" s="12">
        <f>IF(A337="","",IF(325&gt;$B$6*12,"",325))</f>
        <v/>
      </c>
      <c r="B338" s="13">
        <f>IF(A338="","",DATE(YEAR($B$7),MONTH($B$7)+A338-1,1))</f>
        <v/>
      </c>
      <c r="C338" s="14">
        <f>IF(A338="","",$B$9)</f>
        <v/>
      </c>
      <c r="D338" s="14">
        <f>IF(A338="","",F337*$B$5/12)</f>
        <v/>
      </c>
      <c r="E338" s="14">
        <f>IF(A338="","",C338-D338)</f>
        <v/>
      </c>
      <c r="F338" s="14">
        <f>IF(A338="","",MAX(0,F337-E338))</f>
        <v/>
      </c>
    </row>
    <row r="339">
      <c r="A339" s="12">
        <f>IF(A338="","",IF(326&gt;$B$6*12,"",326))</f>
        <v/>
      </c>
      <c r="B339" s="13">
        <f>IF(A339="","",DATE(YEAR($B$7),MONTH($B$7)+A339-1,1))</f>
        <v/>
      </c>
      <c r="C339" s="14">
        <f>IF(A339="","",$B$9)</f>
        <v/>
      </c>
      <c r="D339" s="14">
        <f>IF(A339="","",F338*$B$5/12)</f>
        <v/>
      </c>
      <c r="E339" s="14">
        <f>IF(A339="","",C339-D339)</f>
        <v/>
      </c>
      <c r="F339" s="14">
        <f>IF(A339="","",MAX(0,F338-E339))</f>
        <v/>
      </c>
    </row>
    <row r="340">
      <c r="A340" s="12">
        <f>IF(A339="","",IF(327&gt;$B$6*12,"",327))</f>
        <v/>
      </c>
      <c r="B340" s="13">
        <f>IF(A340="","",DATE(YEAR($B$7),MONTH($B$7)+A340-1,1))</f>
        <v/>
      </c>
      <c r="C340" s="14">
        <f>IF(A340="","",$B$9)</f>
        <v/>
      </c>
      <c r="D340" s="14">
        <f>IF(A340="","",F339*$B$5/12)</f>
        <v/>
      </c>
      <c r="E340" s="14">
        <f>IF(A340="","",C340-D340)</f>
        <v/>
      </c>
      <c r="F340" s="14">
        <f>IF(A340="","",MAX(0,F339-E340))</f>
        <v/>
      </c>
    </row>
    <row r="341">
      <c r="A341" s="12">
        <f>IF(A340="","",IF(328&gt;$B$6*12,"",328))</f>
        <v/>
      </c>
      <c r="B341" s="13">
        <f>IF(A341="","",DATE(YEAR($B$7),MONTH($B$7)+A341-1,1))</f>
        <v/>
      </c>
      <c r="C341" s="14">
        <f>IF(A341="","",$B$9)</f>
        <v/>
      </c>
      <c r="D341" s="14">
        <f>IF(A341="","",F340*$B$5/12)</f>
        <v/>
      </c>
      <c r="E341" s="14">
        <f>IF(A341="","",C341-D341)</f>
        <v/>
      </c>
      <c r="F341" s="14">
        <f>IF(A341="","",MAX(0,F340-E341))</f>
        <v/>
      </c>
    </row>
    <row r="342">
      <c r="A342" s="12">
        <f>IF(A341="","",IF(329&gt;$B$6*12,"",329))</f>
        <v/>
      </c>
      <c r="B342" s="13">
        <f>IF(A342="","",DATE(YEAR($B$7),MONTH($B$7)+A342-1,1))</f>
        <v/>
      </c>
      <c r="C342" s="14">
        <f>IF(A342="","",$B$9)</f>
        <v/>
      </c>
      <c r="D342" s="14">
        <f>IF(A342="","",F341*$B$5/12)</f>
        <v/>
      </c>
      <c r="E342" s="14">
        <f>IF(A342="","",C342-D342)</f>
        <v/>
      </c>
      <c r="F342" s="14">
        <f>IF(A342="","",MAX(0,F341-E342))</f>
        <v/>
      </c>
    </row>
    <row r="343">
      <c r="A343" s="12">
        <f>IF(A342="","",IF(330&gt;$B$6*12,"",330))</f>
        <v/>
      </c>
      <c r="B343" s="13">
        <f>IF(A343="","",DATE(YEAR($B$7),MONTH($B$7)+A343-1,1))</f>
        <v/>
      </c>
      <c r="C343" s="14">
        <f>IF(A343="","",$B$9)</f>
        <v/>
      </c>
      <c r="D343" s="14">
        <f>IF(A343="","",F342*$B$5/12)</f>
        <v/>
      </c>
      <c r="E343" s="14">
        <f>IF(A343="","",C343-D343)</f>
        <v/>
      </c>
      <c r="F343" s="14">
        <f>IF(A343="","",MAX(0,F342-E343))</f>
        <v/>
      </c>
    </row>
    <row r="344">
      <c r="A344" s="12">
        <f>IF(A343="","",IF(331&gt;$B$6*12,"",331))</f>
        <v/>
      </c>
      <c r="B344" s="13">
        <f>IF(A344="","",DATE(YEAR($B$7),MONTH($B$7)+A344-1,1))</f>
        <v/>
      </c>
      <c r="C344" s="14">
        <f>IF(A344="","",$B$9)</f>
        <v/>
      </c>
      <c r="D344" s="14">
        <f>IF(A344="","",F343*$B$5/12)</f>
        <v/>
      </c>
      <c r="E344" s="14">
        <f>IF(A344="","",C344-D344)</f>
        <v/>
      </c>
      <c r="F344" s="14">
        <f>IF(A344="","",MAX(0,F343-E344))</f>
        <v/>
      </c>
    </row>
    <row r="345">
      <c r="A345" s="12">
        <f>IF(A344="","",IF(332&gt;$B$6*12,"",332))</f>
        <v/>
      </c>
      <c r="B345" s="13">
        <f>IF(A345="","",DATE(YEAR($B$7),MONTH($B$7)+A345-1,1))</f>
        <v/>
      </c>
      <c r="C345" s="14">
        <f>IF(A345="","",$B$9)</f>
        <v/>
      </c>
      <c r="D345" s="14">
        <f>IF(A345="","",F344*$B$5/12)</f>
        <v/>
      </c>
      <c r="E345" s="14">
        <f>IF(A345="","",C345-D345)</f>
        <v/>
      </c>
      <c r="F345" s="14">
        <f>IF(A345="","",MAX(0,F344-E345))</f>
        <v/>
      </c>
    </row>
    <row r="346">
      <c r="A346" s="12">
        <f>IF(A345="","",IF(333&gt;$B$6*12,"",333))</f>
        <v/>
      </c>
      <c r="B346" s="13">
        <f>IF(A346="","",DATE(YEAR($B$7),MONTH($B$7)+A346-1,1))</f>
        <v/>
      </c>
      <c r="C346" s="14">
        <f>IF(A346="","",$B$9)</f>
        <v/>
      </c>
      <c r="D346" s="14">
        <f>IF(A346="","",F345*$B$5/12)</f>
        <v/>
      </c>
      <c r="E346" s="14">
        <f>IF(A346="","",C346-D346)</f>
        <v/>
      </c>
      <c r="F346" s="14">
        <f>IF(A346="","",MAX(0,F345-E346))</f>
        <v/>
      </c>
    </row>
    <row r="347">
      <c r="A347" s="12">
        <f>IF(A346="","",IF(334&gt;$B$6*12,"",334))</f>
        <v/>
      </c>
      <c r="B347" s="13">
        <f>IF(A347="","",DATE(YEAR($B$7),MONTH($B$7)+A347-1,1))</f>
        <v/>
      </c>
      <c r="C347" s="14">
        <f>IF(A347="","",$B$9)</f>
        <v/>
      </c>
      <c r="D347" s="14">
        <f>IF(A347="","",F346*$B$5/12)</f>
        <v/>
      </c>
      <c r="E347" s="14">
        <f>IF(A347="","",C347-D347)</f>
        <v/>
      </c>
      <c r="F347" s="14">
        <f>IF(A347="","",MAX(0,F346-E347))</f>
        <v/>
      </c>
    </row>
    <row r="348">
      <c r="A348" s="12">
        <f>IF(A347="","",IF(335&gt;$B$6*12,"",335))</f>
        <v/>
      </c>
      <c r="B348" s="13">
        <f>IF(A348="","",DATE(YEAR($B$7),MONTH($B$7)+A348-1,1))</f>
        <v/>
      </c>
      <c r="C348" s="14">
        <f>IF(A348="","",$B$9)</f>
        <v/>
      </c>
      <c r="D348" s="14">
        <f>IF(A348="","",F347*$B$5/12)</f>
        <v/>
      </c>
      <c r="E348" s="14">
        <f>IF(A348="","",C348-D348)</f>
        <v/>
      </c>
      <c r="F348" s="14">
        <f>IF(A348="","",MAX(0,F347-E348))</f>
        <v/>
      </c>
    </row>
    <row r="349">
      <c r="A349" s="12">
        <f>IF(A348="","",IF(336&gt;$B$6*12,"",336))</f>
        <v/>
      </c>
      <c r="B349" s="13">
        <f>IF(A349="","",DATE(YEAR($B$7),MONTH($B$7)+A349-1,1))</f>
        <v/>
      </c>
      <c r="C349" s="14">
        <f>IF(A349="","",$B$9)</f>
        <v/>
      </c>
      <c r="D349" s="14">
        <f>IF(A349="","",F348*$B$5/12)</f>
        <v/>
      </c>
      <c r="E349" s="14">
        <f>IF(A349="","",C349-D349)</f>
        <v/>
      </c>
      <c r="F349" s="14">
        <f>IF(A349="","",MAX(0,F348-E349))</f>
        <v/>
      </c>
    </row>
    <row r="350">
      <c r="A350" s="12">
        <f>IF(A349="","",IF(337&gt;$B$6*12,"",337))</f>
        <v/>
      </c>
      <c r="B350" s="13">
        <f>IF(A350="","",DATE(YEAR($B$7),MONTH($B$7)+A350-1,1))</f>
        <v/>
      </c>
      <c r="C350" s="14">
        <f>IF(A350="","",$B$9)</f>
        <v/>
      </c>
      <c r="D350" s="14">
        <f>IF(A350="","",F349*$B$5/12)</f>
        <v/>
      </c>
      <c r="E350" s="14">
        <f>IF(A350="","",C350-D350)</f>
        <v/>
      </c>
      <c r="F350" s="14">
        <f>IF(A350="","",MAX(0,F349-E350))</f>
        <v/>
      </c>
    </row>
    <row r="351">
      <c r="A351" s="12">
        <f>IF(A350="","",IF(338&gt;$B$6*12,"",338))</f>
        <v/>
      </c>
      <c r="B351" s="13">
        <f>IF(A351="","",DATE(YEAR($B$7),MONTH($B$7)+A351-1,1))</f>
        <v/>
      </c>
      <c r="C351" s="14">
        <f>IF(A351="","",$B$9)</f>
        <v/>
      </c>
      <c r="D351" s="14">
        <f>IF(A351="","",F350*$B$5/12)</f>
        <v/>
      </c>
      <c r="E351" s="14">
        <f>IF(A351="","",C351-D351)</f>
        <v/>
      </c>
      <c r="F351" s="14">
        <f>IF(A351="","",MAX(0,F350-E351))</f>
        <v/>
      </c>
    </row>
    <row r="352">
      <c r="A352" s="12">
        <f>IF(A351="","",IF(339&gt;$B$6*12,"",339))</f>
        <v/>
      </c>
      <c r="B352" s="13">
        <f>IF(A352="","",DATE(YEAR($B$7),MONTH($B$7)+A352-1,1))</f>
        <v/>
      </c>
      <c r="C352" s="14">
        <f>IF(A352="","",$B$9)</f>
        <v/>
      </c>
      <c r="D352" s="14">
        <f>IF(A352="","",F351*$B$5/12)</f>
        <v/>
      </c>
      <c r="E352" s="14">
        <f>IF(A352="","",C352-D352)</f>
        <v/>
      </c>
      <c r="F352" s="14">
        <f>IF(A352="","",MAX(0,F351-E352))</f>
        <v/>
      </c>
    </row>
    <row r="353">
      <c r="A353" s="12">
        <f>IF(A352="","",IF(340&gt;$B$6*12,"",340))</f>
        <v/>
      </c>
      <c r="B353" s="13">
        <f>IF(A353="","",DATE(YEAR($B$7),MONTH($B$7)+A353-1,1))</f>
        <v/>
      </c>
      <c r="C353" s="14">
        <f>IF(A353="","",$B$9)</f>
        <v/>
      </c>
      <c r="D353" s="14">
        <f>IF(A353="","",F352*$B$5/12)</f>
        <v/>
      </c>
      <c r="E353" s="14">
        <f>IF(A353="","",C353-D353)</f>
        <v/>
      </c>
      <c r="F353" s="14">
        <f>IF(A353="","",MAX(0,F352-E353))</f>
        <v/>
      </c>
    </row>
    <row r="354">
      <c r="A354" s="12">
        <f>IF(A353="","",IF(341&gt;$B$6*12,"",341))</f>
        <v/>
      </c>
      <c r="B354" s="13">
        <f>IF(A354="","",DATE(YEAR($B$7),MONTH($B$7)+A354-1,1))</f>
        <v/>
      </c>
      <c r="C354" s="14">
        <f>IF(A354="","",$B$9)</f>
        <v/>
      </c>
      <c r="D354" s="14">
        <f>IF(A354="","",F353*$B$5/12)</f>
        <v/>
      </c>
      <c r="E354" s="14">
        <f>IF(A354="","",C354-D354)</f>
        <v/>
      </c>
      <c r="F354" s="14">
        <f>IF(A354="","",MAX(0,F353-E354))</f>
        <v/>
      </c>
    </row>
    <row r="355">
      <c r="A355" s="12">
        <f>IF(A354="","",IF(342&gt;$B$6*12,"",342))</f>
        <v/>
      </c>
      <c r="B355" s="13">
        <f>IF(A355="","",DATE(YEAR($B$7),MONTH($B$7)+A355-1,1))</f>
        <v/>
      </c>
      <c r="C355" s="14">
        <f>IF(A355="","",$B$9)</f>
        <v/>
      </c>
      <c r="D355" s="14">
        <f>IF(A355="","",F354*$B$5/12)</f>
        <v/>
      </c>
      <c r="E355" s="14">
        <f>IF(A355="","",C355-D355)</f>
        <v/>
      </c>
      <c r="F355" s="14">
        <f>IF(A355="","",MAX(0,F354-E355))</f>
        <v/>
      </c>
    </row>
    <row r="356">
      <c r="A356" s="12">
        <f>IF(A355="","",IF(343&gt;$B$6*12,"",343))</f>
        <v/>
      </c>
      <c r="B356" s="13">
        <f>IF(A356="","",DATE(YEAR($B$7),MONTH($B$7)+A356-1,1))</f>
        <v/>
      </c>
      <c r="C356" s="14">
        <f>IF(A356="","",$B$9)</f>
        <v/>
      </c>
      <c r="D356" s="14">
        <f>IF(A356="","",F355*$B$5/12)</f>
        <v/>
      </c>
      <c r="E356" s="14">
        <f>IF(A356="","",C356-D356)</f>
        <v/>
      </c>
      <c r="F356" s="14">
        <f>IF(A356="","",MAX(0,F355-E356))</f>
        <v/>
      </c>
    </row>
    <row r="357">
      <c r="A357" s="12">
        <f>IF(A356="","",IF(344&gt;$B$6*12,"",344))</f>
        <v/>
      </c>
      <c r="B357" s="13">
        <f>IF(A357="","",DATE(YEAR($B$7),MONTH($B$7)+A357-1,1))</f>
        <v/>
      </c>
      <c r="C357" s="14">
        <f>IF(A357="","",$B$9)</f>
        <v/>
      </c>
      <c r="D357" s="14">
        <f>IF(A357="","",F356*$B$5/12)</f>
        <v/>
      </c>
      <c r="E357" s="14">
        <f>IF(A357="","",C357-D357)</f>
        <v/>
      </c>
      <c r="F357" s="14">
        <f>IF(A357="","",MAX(0,F356-E357))</f>
        <v/>
      </c>
    </row>
    <row r="358">
      <c r="A358" s="12">
        <f>IF(A357="","",IF(345&gt;$B$6*12,"",345))</f>
        <v/>
      </c>
      <c r="B358" s="13">
        <f>IF(A358="","",DATE(YEAR($B$7),MONTH($B$7)+A358-1,1))</f>
        <v/>
      </c>
      <c r="C358" s="14">
        <f>IF(A358="","",$B$9)</f>
        <v/>
      </c>
      <c r="D358" s="14">
        <f>IF(A358="","",F357*$B$5/12)</f>
        <v/>
      </c>
      <c r="E358" s="14">
        <f>IF(A358="","",C358-D358)</f>
        <v/>
      </c>
      <c r="F358" s="14">
        <f>IF(A358="","",MAX(0,F357-E358))</f>
        <v/>
      </c>
    </row>
    <row r="359">
      <c r="A359" s="12">
        <f>IF(A358="","",IF(346&gt;$B$6*12,"",346))</f>
        <v/>
      </c>
      <c r="B359" s="13">
        <f>IF(A359="","",DATE(YEAR($B$7),MONTH($B$7)+A359-1,1))</f>
        <v/>
      </c>
      <c r="C359" s="14">
        <f>IF(A359="","",$B$9)</f>
        <v/>
      </c>
      <c r="D359" s="14">
        <f>IF(A359="","",F358*$B$5/12)</f>
        <v/>
      </c>
      <c r="E359" s="14">
        <f>IF(A359="","",C359-D359)</f>
        <v/>
      </c>
      <c r="F359" s="14">
        <f>IF(A359="","",MAX(0,F358-E359))</f>
        <v/>
      </c>
    </row>
    <row r="360">
      <c r="A360" s="12">
        <f>IF(A359="","",IF(347&gt;$B$6*12,"",347))</f>
        <v/>
      </c>
      <c r="B360" s="13">
        <f>IF(A360="","",DATE(YEAR($B$7),MONTH($B$7)+A360-1,1))</f>
        <v/>
      </c>
      <c r="C360" s="14">
        <f>IF(A360="","",$B$9)</f>
        <v/>
      </c>
      <c r="D360" s="14">
        <f>IF(A360="","",F359*$B$5/12)</f>
        <v/>
      </c>
      <c r="E360" s="14">
        <f>IF(A360="","",C360-D360)</f>
        <v/>
      </c>
      <c r="F360" s="14">
        <f>IF(A360="","",MAX(0,F359-E360))</f>
        <v/>
      </c>
    </row>
    <row r="361">
      <c r="A361" s="12">
        <f>IF(A360="","",IF(348&gt;$B$6*12,"",348))</f>
        <v/>
      </c>
      <c r="B361" s="13">
        <f>IF(A361="","",DATE(YEAR($B$7),MONTH($B$7)+A361-1,1))</f>
        <v/>
      </c>
      <c r="C361" s="14">
        <f>IF(A361="","",$B$9)</f>
        <v/>
      </c>
      <c r="D361" s="14">
        <f>IF(A361="","",F360*$B$5/12)</f>
        <v/>
      </c>
      <c r="E361" s="14">
        <f>IF(A361="","",C361-D361)</f>
        <v/>
      </c>
      <c r="F361" s="14">
        <f>IF(A361="","",MAX(0,F360-E361))</f>
        <v/>
      </c>
    </row>
    <row r="362">
      <c r="A362" s="12">
        <f>IF(A361="","",IF(349&gt;$B$6*12,"",349))</f>
        <v/>
      </c>
      <c r="B362" s="13">
        <f>IF(A362="","",DATE(YEAR($B$7),MONTH($B$7)+A362-1,1))</f>
        <v/>
      </c>
      <c r="C362" s="14">
        <f>IF(A362="","",$B$9)</f>
        <v/>
      </c>
      <c r="D362" s="14">
        <f>IF(A362="","",F361*$B$5/12)</f>
        <v/>
      </c>
      <c r="E362" s="14">
        <f>IF(A362="","",C362-D362)</f>
        <v/>
      </c>
      <c r="F362" s="14">
        <f>IF(A362="","",MAX(0,F361-E362))</f>
        <v/>
      </c>
    </row>
    <row r="363">
      <c r="A363" s="12">
        <f>IF(A362="","",IF(350&gt;$B$6*12,"",350))</f>
        <v/>
      </c>
      <c r="B363" s="13">
        <f>IF(A363="","",DATE(YEAR($B$7),MONTH($B$7)+A363-1,1))</f>
        <v/>
      </c>
      <c r="C363" s="14">
        <f>IF(A363="","",$B$9)</f>
        <v/>
      </c>
      <c r="D363" s="14">
        <f>IF(A363="","",F362*$B$5/12)</f>
        <v/>
      </c>
      <c r="E363" s="14">
        <f>IF(A363="","",C363-D363)</f>
        <v/>
      </c>
      <c r="F363" s="14">
        <f>IF(A363="","",MAX(0,F362-E363))</f>
        <v/>
      </c>
    </row>
    <row r="364">
      <c r="A364" s="12">
        <f>IF(A363="","",IF(351&gt;$B$6*12,"",351))</f>
        <v/>
      </c>
      <c r="B364" s="13">
        <f>IF(A364="","",DATE(YEAR($B$7),MONTH($B$7)+A364-1,1))</f>
        <v/>
      </c>
      <c r="C364" s="14">
        <f>IF(A364="","",$B$9)</f>
        <v/>
      </c>
      <c r="D364" s="14">
        <f>IF(A364="","",F363*$B$5/12)</f>
        <v/>
      </c>
      <c r="E364" s="14">
        <f>IF(A364="","",C364-D364)</f>
        <v/>
      </c>
      <c r="F364" s="14">
        <f>IF(A364="","",MAX(0,F363-E364))</f>
        <v/>
      </c>
    </row>
    <row r="365">
      <c r="A365" s="12">
        <f>IF(A364="","",IF(352&gt;$B$6*12,"",352))</f>
        <v/>
      </c>
      <c r="B365" s="13">
        <f>IF(A365="","",DATE(YEAR($B$7),MONTH($B$7)+A365-1,1))</f>
        <v/>
      </c>
      <c r="C365" s="14">
        <f>IF(A365="","",$B$9)</f>
        <v/>
      </c>
      <c r="D365" s="14">
        <f>IF(A365="","",F364*$B$5/12)</f>
        <v/>
      </c>
      <c r="E365" s="14">
        <f>IF(A365="","",C365-D365)</f>
        <v/>
      </c>
      <c r="F365" s="14">
        <f>IF(A365="","",MAX(0,F364-E365))</f>
        <v/>
      </c>
    </row>
    <row r="366">
      <c r="A366" s="12">
        <f>IF(A365="","",IF(353&gt;$B$6*12,"",353))</f>
        <v/>
      </c>
      <c r="B366" s="13">
        <f>IF(A366="","",DATE(YEAR($B$7),MONTH($B$7)+A366-1,1))</f>
        <v/>
      </c>
      <c r="C366" s="14">
        <f>IF(A366="","",$B$9)</f>
        <v/>
      </c>
      <c r="D366" s="14">
        <f>IF(A366="","",F365*$B$5/12)</f>
        <v/>
      </c>
      <c r="E366" s="14">
        <f>IF(A366="","",C366-D366)</f>
        <v/>
      </c>
      <c r="F366" s="14">
        <f>IF(A366="","",MAX(0,F365-E366))</f>
        <v/>
      </c>
    </row>
    <row r="367">
      <c r="A367" s="12">
        <f>IF(A366="","",IF(354&gt;$B$6*12,"",354))</f>
        <v/>
      </c>
      <c r="B367" s="13">
        <f>IF(A367="","",DATE(YEAR($B$7),MONTH($B$7)+A367-1,1))</f>
        <v/>
      </c>
      <c r="C367" s="14">
        <f>IF(A367="","",$B$9)</f>
        <v/>
      </c>
      <c r="D367" s="14">
        <f>IF(A367="","",F366*$B$5/12)</f>
        <v/>
      </c>
      <c r="E367" s="14">
        <f>IF(A367="","",C367-D367)</f>
        <v/>
      </c>
      <c r="F367" s="14">
        <f>IF(A367="","",MAX(0,F366-E367))</f>
        <v/>
      </c>
    </row>
    <row r="368">
      <c r="A368" s="12">
        <f>IF(A367="","",IF(355&gt;$B$6*12,"",355))</f>
        <v/>
      </c>
      <c r="B368" s="13">
        <f>IF(A368="","",DATE(YEAR($B$7),MONTH($B$7)+A368-1,1))</f>
        <v/>
      </c>
      <c r="C368" s="14">
        <f>IF(A368="","",$B$9)</f>
        <v/>
      </c>
      <c r="D368" s="14">
        <f>IF(A368="","",F367*$B$5/12)</f>
        <v/>
      </c>
      <c r="E368" s="14">
        <f>IF(A368="","",C368-D368)</f>
        <v/>
      </c>
      <c r="F368" s="14">
        <f>IF(A368="","",MAX(0,F367-E368))</f>
        <v/>
      </c>
    </row>
    <row r="369">
      <c r="A369" s="12">
        <f>IF(A368="","",IF(356&gt;$B$6*12,"",356))</f>
        <v/>
      </c>
      <c r="B369" s="13">
        <f>IF(A369="","",DATE(YEAR($B$7),MONTH($B$7)+A369-1,1))</f>
        <v/>
      </c>
      <c r="C369" s="14">
        <f>IF(A369="","",$B$9)</f>
        <v/>
      </c>
      <c r="D369" s="14">
        <f>IF(A369="","",F368*$B$5/12)</f>
        <v/>
      </c>
      <c r="E369" s="14">
        <f>IF(A369="","",C369-D369)</f>
        <v/>
      </c>
      <c r="F369" s="14">
        <f>IF(A369="","",MAX(0,F368-E369))</f>
        <v/>
      </c>
    </row>
    <row r="370">
      <c r="A370" s="12">
        <f>IF(A369="","",IF(357&gt;$B$6*12,"",357))</f>
        <v/>
      </c>
      <c r="B370" s="13">
        <f>IF(A370="","",DATE(YEAR($B$7),MONTH($B$7)+A370-1,1))</f>
        <v/>
      </c>
      <c r="C370" s="14">
        <f>IF(A370="","",$B$9)</f>
        <v/>
      </c>
      <c r="D370" s="14">
        <f>IF(A370="","",F369*$B$5/12)</f>
        <v/>
      </c>
      <c r="E370" s="14">
        <f>IF(A370="","",C370-D370)</f>
        <v/>
      </c>
      <c r="F370" s="14">
        <f>IF(A370="","",MAX(0,F369-E370))</f>
        <v/>
      </c>
    </row>
    <row r="371">
      <c r="A371" s="12">
        <f>IF(A370="","",IF(358&gt;$B$6*12,"",358))</f>
        <v/>
      </c>
      <c r="B371" s="13">
        <f>IF(A371="","",DATE(YEAR($B$7),MONTH($B$7)+A371-1,1))</f>
        <v/>
      </c>
      <c r="C371" s="14">
        <f>IF(A371="","",$B$9)</f>
        <v/>
      </c>
      <c r="D371" s="14">
        <f>IF(A371="","",F370*$B$5/12)</f>
        <v/>
      </c>
      <c r="E371" s="14">
        <f>IF(A371="","",C371-D371)</f>
        <v/>
      </c>
      <c r="F371" s="14">
        <f>IF(A371="","",MAX(0,F370-E371))</f>
        <v/>
      </c>
    </row>
    <row r="372">
      <c r="A372" s="12">
        <f>IF(A371="","",IF(359&gt;$B$6*12,"",359))</f>
        <v/>
      </c>
      <c r="B372" s="13">
        <f>IF(A372="","",DATE(YEAR($B$7),MONTH($B$7)+A372-1,1))</f>
        <v/>
      </c>
      <c r="C372" s="14">
        <f>IF(A372="","",$B$9)</f>
        <v/>
      </c>
      <c r="D372" s="14">
        <f>IF(A372="","",F371*$B$5/12)</f>
        <v/>
      </c>
      <c r="E372" s="14">
        <f>IF(A372="","",C372-D372)</f>
        <v/>
      </c>
      <c r="F372" s="14">
        <f>IF(A372="","",MAX(0,F371-E372))</f>
        <v/>
      </c>
    </row>
    <row r="373">
      <c r="A373" s="12">
        <f>IF(A372="","",IF(360&gt;$B$6*12,"",360))</f>
        <v/>
      </c>
      <c r="B373" s="13">
        <f>IF(A373="","",DATE(YEAR($B$7),MONTH($B$7)+A373-1,1))</f>
        <v/>
      </c>
      <c r="C373" s="14">
        <f>IF(A373="","",$B$9)</f>
        <v/>
      </c>
      <c r="D373" s="14">
        <f>IF(A373="","",F372*$B$5/12)</f>
        <v/>
      </c>
      <c r="E373" s="14">
        <f>IF(A373="","",C373-D373)</f>
        <v/>
      </c>
      <c r="F373" s="14">
        <f>IF(A373="","",MAX(0,F372-E373))</f>
        <v/>
      </c>
    </row>
  </sheetData>
  <mergeCells count="2">
    <mergeCell ref="A2:F2"/>
    <mergeCell ref="A1:F1"/>
  </mergeCells>
  <printOptions horizontalCentered="1"/>
  <pageMargins left="0.4" right="0.4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free-printable.com</dc:creator>
  <dc:title xmlns:dc="http://purl.org/dc/elements/1.1/">Loan &amp; mortgage calculator with amortisation</dc:title>
  <dcterms:created xmlns:dcterms="http://purl.org/dc/terms/" xmlns:xsi="http://www.w3.org/2001/XMLSchema-instance" xsi:type="dcterms:W3CDTF">2026-09-10T15:10:19Z</dcterms:created>
  <dcterms:modified xmlns:dcterms="http://purl.org/dc/terms/" xmlns:xsi="http://www.w3.org/2001/XMLSchema-instance" xsi:type="dcterms:W3CDTF">2026-09-10T15:10:20Z</dcterms:modified>
</cp:coreProperties>
</file>